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915" windowWidth="19395" windowHeight="7155"/>
  </bookViews>
  <sheets>
    <sheet name="Summary" sheetId="1" r:id="rId1"/>
  </sheets>
  <externalReferences>
    <externalReference r:id="rId2"/>
  </externalReferences>
  <calcPr calcId="145621" calcOnSave="0"/>
</workbook>
</file>

<file path=xl/calcChain.xml><?xml version="1.0" encoding="utf-8"?>
<calcChain xmlns="http://schemas.openxmlformats.org/spreadsheetml/2006/main">
  <c r="B96" i="1" l="1"/>
  <c r="N12" i="1" l="1"/>
  <c r="N11" i="1"/>
  <c r="M12" i="1"/>
  <c r="M11" i="1"/>
  <c r="L12" i="1"/>
  <c r="L11" i="1"/>
  <c r="K12" i="1"/>
  <c r="K11" i="1"/>
  <c r="I14" i="1"/>
  <c r="I26" i="1"/>
  <c r="H96" i="1" l="1"/>
  <c r="I116" i="1" l="1"/>
  <c r="I115" i="1"/>
  <c r="N85" i="1"/>
  <c r="M85" i="1"/>
  <c r="L85" i="1"/>
  <c r="K85" i="1"/>
  <c r="N84" i="1"/>
  <c r="M84" i="1"/>
  <c r="L84" i="1"/>
  <c r="K84" i="1"/>
  <c r="J85" i="1"/>
  <c r="J84" i="1"/>
  <c r="J67" i="1"/>
  <c r="J79" i="1"/>
  <c r="K75" i="1" s="1"/>
  <c r="K79" i="1" s="1"/>
  <c r="L75" i="1" s="1"/>
  <c r="L79" i="1" s="1"/>
  <c r="M75" i="1" s="1"/>
  <c r="M79" i="1" s="1"/>
  <c r="N75" i="1" s="1"/>
  <c r="N79" i="1" s="1"/>
  <c r="H29" i="1"/>
  <c r="J90" i="1" l="1"/>
  <c r="K83" i="1" l="1"/>
  <c r="K90" i="1" s="1"/>
  <c r="J115" i="1"/>
  <c r="L83" i="1" l="1"/>
  <c r="L90" i="1" s="1"/>
  <c r="K115" i="1"/>
  <c r="M83" i="1" l="1"/>
  <c r="M90" i="1" s="1"/>
  <c r="L115" i="1"/>
  <c r="N83" i="1" l="1"/>
  <c r="N90" i="1" s="1"/>
  <c r="N115" i="1" s="1"/>
  <c r="M115" i="1"/>
  <c r="H52" i="1" l="1"/>
  <c r="H51" i="1"/>
  <c r="H50" i="1"/>
  <c r="H49" i="1"/>
  <c r="H48" i="1"/>
  <c r="H47" i="1"/>
  <c r="H46" i="1"/>
  <c r="H45" i="1"/>
  <c r="H44" i="1"/>
  <c r="H43" i="1"/>
  <c r="H42" i="1"/>
  <c r="H34" i="1"/>
  <c r="H36" i="1" s="1"/>
  <c r="H20" i="1"/>
  <c r="B34" i="1"/>
  <c r="C52" i="1"/>
  <c r="C51" i="1"/>
  <c r="C50" i="1"/>
  <c r="C49" i="1"/>
  <c r="C48" i="1"/>
  <c r="C47" i="1"/>
  <c r="C46" i="1"/>
  <c r="C45" i="1"/>
  <c r="C44" i="1"/>
  <c r="C43" i="1"/>
  <c r="C42" i="1"/>
  <c r="C36" i="1"/>
  <c r="C20" i="1"/>
  <c r="C55" i="1" l="1"/>
  <c r="C97" i="1" s="1"/>
  <c r="C38" i="1"/>
  <c r="H55" i="1"/>
  <c r="H97" i="1" s="1"/>
  <c r="H100" i="1" s="1"/>
  <c r="H102" i="1" s="1"/>
  <c r="H38" i="1"/>
  <c r="J53" i="1" l="1"/>
  <c r="J29" i="1"/>
  <c r="I45" i="1"/>
  <c r="I52" i="1"/>
  <c r="I51" i="1"/>
  <c r="I50" i="1"/>
  <c r="I49" i="1"/>
  <c r="I48" i="1"/>
  <c r="I47" i="1"/>
  <c r="I46" i="1"/>
  <c r="I44" i="1"/>
  <c r="I43" i="1"/>
  <c r="I42" i="1"/>
  <c r="I36" i="1"/>
  <c r="I20" i="1"/>
  <c r="F52" i="1"/>
  <c r="E52" i="1"/>
  <c r="D52" i="1"/>
  <c r="B52" i="1"/>
  <c r="F51" i="1"/>
  <c r="E51" i="1"/>
  <c r="D51" i="1"/>
  <c r="B51" i="1"/>
  <c r="F50" i="1"/>
  <c r="E50" i="1"/>
  <c r="D50" i="1"/>
  <c r="B50" i="1"/>
  <c r="F49" i="1"/>
  <c r="E49" i="1"/>
  <c r="D49" i="1"/>
  <c r="B49" i="1"/>
  <c r="F48" i="1"/>
  <c r="E48" i="1"/>
  <c r="D48" i="1"/>
  <c r="B48" i="1"/>
  <c r="F47" i="1"/>
  <c r="E47" i="1"/>
  <c r="D47" i="1"/>
  <c r="B47" i="1"/>
  <c r="F46" i="1"/>
  <c r="E46" i="1"/>
  <c r="D46" i="1"/>
  <c r="B46" i="1"/>
  <c r="F45" i="1"/>
  <c r="E45" i="1"/>
  <c r="D45" i="1"/>
  <c r="B45" i="1"/>
  <c r="F44" i="1"/>
  <c r="E44" i="1"/>
  <c r="D44" i="1"/>
  <c r="B44" i="1"/>
  <c r="F43" i="1"/>
  <c r="E43" i="1"/>
  <c r="D43" i="1"/>
  <c r="B43" i="1"/>
  <c r="F42" i="1"/>
  <c r="F55" i="1" s="1"/>
  <c r="F97" i="1" s="1"/>
  <c r="E42" i="1"/>
  <c r="E55" i="1" s="1"/>
  <c r="E97" i="1" s="1"/>
  <c r="D42" i="1"/>
  <c r="D55" i="1" s="1"/>
  <c r="D97" i="1" s="1"/>
  <c r="B42" i="1"/>
  <c r="B55" i="1" s="1"/>
  <c r="B97" i="1" s="1"/>
  <c r="B100" i="1" s="1"/>
  <c r="F36" i="1"/>
  <c r="E36" i="1"/>
  <c r="D36" i="1"/>
  <c r="B36" i="1"/>
  <c r="F20" i="1"/>
  <c r="E20" i="1"/>
  <c r="D20" i="1"/>
  <c r="B20" i="1"/>
  <c r="C96" i="1" l="1"/>
  <c r="C100" i="1" s="1"/>
  <c r="B102" i="1"/>
  <c r="I38" i="1"/>
  <c r="D38" i="1"/>
  <c r="E38" i="1"/>
  <c r="I55" i="1"/>
  <c r="I97" i="1" s="1"/>
  <c r="I100" i="1" s="1"/>
  <c r="F38" i="1"/>
  <c r="B38" i="1"/>
  <c r="D96" i="1" l="1"/>
  <c r="D100" i="1" s="1"/>
  <c r="C102" i="1"/>
  <c r="I102" i="1"/>
  <c r="J96" i="1"/>
  <c r="N52" i="1"/>
  <c r="M52" i="1"/>
  <c r="L52" i="1"/>
  <c r="K52" i="1"/>
  <c r="J52" i="1"/>
  <c r="N51" i="1"/>
  <c r="M51" i="1"/>
  <c r="L51" i="1"/>
  <c r="K51" i="1"/>
  <c r="N49" i="1"/>
  <c r="M49" i="1"/>
  <c r="L49" i="1"/>
  <c r="K49" i="1"/>
  <c r="N47" i="1"/>
  <c r="M47" i="1"/>
  <c r="L47" i="1"/>
  <c r="K47" i="1"/>
  <c r="N46" i="1"/>
  <c r="M46" i="1"/>
  <c r="L46" i="1"/>
  <c r="K46" i="1"/>
  <c r="N45" i="1"/>
  <c r="N61" i="1" s="1"/>
  <c r="N98" i="1" s="1"/>
  <c r="M45" i="1"/>
  <c r="M61" i="1" s="1"/>
  <c r="M98" i="1" s="1"/>
  <c r="L45" i="1"/>
  <c r="L61" i="1" s="1"/>
  <c r="L98" i="1" s="1"/>
  <c r="K45" i="1"/>
  <c r="K61" i="1" s="1"/>
  <c r="K98" i="1" s="1"/>
  <c r="N44" i="1"/>
  <c r="M44" i="1"/>
  <c r="L44" i="1"/>
  <c r="K44" i="1"/>
  <c r="N43" i="1"/>
  <c r="M43" i="1"/>
  <c r="L43" i="1"/>
  <c r="K43" i="1"/>
  <c r="N42" i="1"/>
  <c r="M42" i="1"/>
  <c r="L42" i="1"/>
  <c r="K42" i="1"/>
  <c r="N34" i="1"/>
  <c r="M34" i="1"/>
  <c r="L34" i="1"/>
  <c r="K34" i="1"/>
  <c r="J50" i="1"/>
  <c r="J27" i="1"/>
  <c r="N20" i="1"/>
  <c r="M20" i="1"/>
  <c r="L20" i="1"/>
  <c r="K20" i="1"/>
  <c r="J49" i="1"/>
  <c r="J47" i="1"/>
  <c r="J45" i="1"/>
  <c r="J61" i="1" s="1"/>
  <c r="E96" i="1" l="1"/>
  <c r="E100" i="1" s="1"/>
  <c r="D102" i="1"/>
  <c r="I106" i="1"/>
  <c r="I108" i="1" s="1"/>
  <c r="I114" i="1" s="1"/>
  <c r="I113" i="1"/>
  <c r="J44" i="1"/>
  <c r="K31" i="1"/>
  <c r="K29" i="1" s="1"/>
  <c r="K48" i="1" s="1"/>
  <c r="J46" i="1"/>
  <c r="J48" i="1"/>
  <c r="J63" i="1"/>
  <c r="J98" i="1"/>
  <c r="J42" i="1"/>
  <c r="J20" i="1"/>
  <c r="J43" i="1"/>
  <c r="J51" i="1"/>
  <c r="F96" i="1" l="1"/>
  <c r="F100" i="1" s="1"/>
  <c r="F102" i="1" s="1"/>
  <c r="E102" i="1"/>
  <c r="I117" i="1"/>
  <c r="L31" i="1"/>
  <c r="L29" i="1" s="1"/>
  <c r="K36" i="1"/>
  <c r="K38" i="1" s="1"/>
  <c r="K50" i="1"/>
  <c r="K55" i="1" s="1"/>
  <c r="K97" i="1" s="1"/>
  <c r="J34" i="1"/>
  <c r="J36" i="1" s="1"/>
  <c r="J38" i="1" s="1"/>
  <c r="J116" i="1"/>
  <c r="K59" i="1"/>
  <c r="K63" i="1" s="1"/>
  <c r="M31" i="1" l="1"/>
  <c r="N31" i="1" s="1"/>
  <c r="L50" i="1"/>
  <c r="L48" i="1"/>
  <c r="L36" i="1"/>
  <c r="L38" i="1" s="1"/>
  <c r="K116" i="1"/>
  <c r="L59" i="1"/>
  <c r="L63" i="1" s="1"/>
  <c r="J55" i="1"/>
  <c r="J97" i="1" s="1"/>
  <c r="M29" i="1" l="1"/>
  <c r="M36" i="1" s="1"/>
  <c r="M38" i="1" s="1"/>
  <c r="M50" i="1"/>
  <c r="J69" i="1"/>
  <c r="L55" i="1"/>
  <c r="L97" i="1" s="1"/>
  <c r="N50" i="1"/>
  <c r="N29" i="1"/>
  <c r="M59" i="1"/>
  <c r="M63" i="1" s="1"/>
  <c r="L116" i="1"/>
  <c r="M48" i="1"/>
  <c r="M55" i="1" l="1"/>
  <c r="M97" i="1" s="1"/>
  <c r="J99" i="1"/>
  <c r="J100" i="1" s="1"/>
  <c r="J71" i="1"/>
  <c r="N48" i="1"/>
  <c r="N55" i="1" s="1"/>
  <c r="N97" i="1" s="1"/>
  <c r="N36" i="1"/>
  <c r="N38" i="1" s="1"/>
  <c r="N59" i="1"/>
  <c r="N63" i="1" s="1"/>
  <c r="N116" i="1" s="1"/>
  <c r="M116" i="1"/>
  <c r="J114" i="1" l="1"/>
  <c r="J107" i="1" s="1"/>
  <c r="K67" i="1"/>
  <c r="J102" i="1"/>
  <c r="J113" i="1" s="1"/>
  <c r="K96" i="1"/>
  <c r="J117" i="1" l="1"/>
  <c r="J106" i="1"/>
  <c r="J108" i="1" s="1"/>
  <c r="K69" i="1"/>
  <c r="K99" i="1" s="1"/>
  <c r="K100" i="1" s="1"/>
  <c r="K102" i="1" l="1"/>
  <c r="K113" i="1" s="1"/>
  <c r="K106" i="1" s="1"/>
  <c r="L96" i="1"/>
  <c r="K71" i="1"/>
  <c r="L67" i="1" l="1"/>
  <c r="K114" i="1"/>
  <c r="L69" i="1"/>
  <c r="L99" i="1" s="1"/>
  <c r="L100" i="1" s="1"/>
  <c r="K117" i="1" l="1"/>
  <c r="K107" i="1"/>
  <c r="K108" i="1" s="1"/>
  <c r="L102" i="1"/>
  <c r="L113" i="1" s="1"/>
  <c r="L106" i="1" s="1"/>
  <c r="M96" i="1"/>
  <c r="M69" i="1" s="1"/>
  <c r="M99" i="1" s="1"/>
  <c r="M100" i="1" s="1"/>
  <c r="L71" i="1"/>
  <c r="M102" i="1" l="1"/>
  <c r="M113" i="1" s="1"/>
  <c r="M106" i="1" s="1"/>
  <c r="N96" i="1"/>
  <c r="N69" i="1" s="1"/>
  <c r="N99" i="1" s="1"/>
  <c r="N100" i="1" s="1"/>
  <c r="N102" i="1" s="1"/>
  <c r="N113" i="1" s="1"/>
  <c r="N106" i="1" s="1"/>
  <c r="L114" i="1"/>
  <c r="M67" i="1"/>
  <c r="M71" i="1" s="1"/>
  <c r="L117" i="1" l="1"/>
  <c r="L107" i="1"/>
  <c r="L108" i="1" s="1"/>
  <c r="M114" i="1"/>
  <c r="N67" i="1"/>
  <c r="N71" i="1" s="1"/>
  <c r="N114" i="1" s="1"/>
  <c r="N117" i="1" l="1"/>
  <c r="N107" i="1"/>
  <c r="N108" i="1" s="1"/>
  <c r="M117" i="1"/>
  <c r="M107" i="1"/>
  <c r="M108" i="1" s="1"/>
</calcChain>
</file>

<file path=xl/sharedStrings.xml><?xml version="1.0" encoding="utf-8"?>
<sst xmlns="http://schemas.openxmlformats.org/spreadsheetml/2006/main" count="121" uniqueCount="73">
  <si>
    <t>ENGLISH CHESS FEDERATION</t>
  </si>
  <si>
    <t>2016/17</t>
  </si>
  <si>
    <t>2017/8</t>
  </si>
  <si>
    <t>2018/19</t>
  </si>
  <si>
    <t>2019/20</t>
  </si>
  <si>
    <t>2020/21</t>
  </si>
  <si>
    <t>Budget</t>
  </si>
  <si>
    <t>INCOME</t>
  </si>
  <si>
    <t>Membership</t>
  </si>
  <si>
    <t>Game Fee</t>
  </si>
  <si>
    <t>Home Chess</t>
  </si>
  <si>
    <t>Junior Chess</t>
  </si>
  <si>
    <t>International Chess</t>
  </si>
  <si>
    <t>British Championships</t>
  </si>
  <si>
    <t>Administration</t>
  </si>
  <si>
    <t>Library</t>
  </si>
  <si>
    <t>EXPENDITURE</t>
  </si>
  <si>
    <t>Bookkeeping</t>
  </si>
  <si>
    <t>Publicity</t>
  </si>
  <si>
    <t>Contingency</t>
  </si>
  <si>
    <t>Taxation</t>
  </si>
  <si>
    <t>RESULT FOR THE YEAR</t>
  </si>
  <si>
    <t>NET</t>
  </si>
  <si>
    <t>JRT</t>
  </si>
  <si>
    <t>Draw down</t>
  </si>
  <si>
    <t>Movement in MV</t>
  </si>
  <si>
    <t>PIF</t>
  </si>
  <si>
    <t>General Fund</t>
  </si>
  <si>
    <t>Brought forward</t>
  </si>
  <si>
    <t>Result for year</t>
  </si>
  <si>
    <t>JRT drawdown</t>
  </si>
  <si>
    <t>PIF drawdown</t>
  </si>
  <si>
    <t>Carried forward</t>
  </si>
  <si>
    <t>Development fund</t>
  </si>
  <si>
    <t>ECF</t>
  </si>
  <si>
    <t>NOTES</t>
  </si>
  <si>
    <t>Forecast</t>
  </si>
  <si>
    <t>2015/16</t>
  </si>
  <si>
    <t>CURRENT PERCEPTION</t>
  </si>
  <si>
    <t>Additional Academy costs</t>
  </si>
  <si>
    <t>Fund c/f at MV</t>
  </si>
  <si>
    <t>The above figures do not take account of any outgoings relating to the Go Association initiative or any changes in respect of the library.</t>
  </si>
  <si>
    <t>PER BUDGET AS APPROVED BY COUNCIL</t>
  </si>
  <si>
    <t>ECF RESERVES C/F</t>
  </si>
  <si>
    <t>2014/15</t>
  </si>
  <si>
    <t>Result</t>
  </si>
  <si>
    <t>Fund b/f at MV (from 31/12/15)</t>
  </si>
  <si>
    <t>Fund b/f at MV (from 28/4/16)</t>
  </si>
  <si>
    <t>PIF 1</t>
  </si>
  <si>
    <t>PIF 2</t>
  </si>
  <si>
    <t>Transfer to Chess Trust</t>
  </si>
  <si>
    <t>THE CHESS TRUST</t>
  </si>
  <si>
    <t>Fund b/f</t>
  </si>
  <si>
    <t>Transfer from PIF 2</t>
  </si>
  <si>
    <t>Expenditure</t>
  </si>
  <si>
    <t>Income</t>
  </si>
  <si>
    <t>CHESS TRUST</t>
  </si>
  <si>
    <t>RESERVES IN ECF + PIF1</t>
  </si>
  <si>
    <t>CONSOLIDATED RESERVES (INCLUDING CHESS TRUST AND JRT)</t>
  </si>
  <si>
    <t>Columns B to F represent version A of the budget as presented to the Finance Council, but with the membership fee and Game Fee increases stripped out.</t>
  </si>
  <si>
    <t>FIVE YEAR FINANCIAL PLAN</t>
  </si>
  <si>
    <t>Transfer from PIF 1</t>
  </si>
  <si>
    <t>Discussions  will be held with the auditors about a change in accounting policy for the Academy, whereby each year will be treated as an "event".  Such a change is not reflected in the above figures.</t>
  </si>
  <si>
    <t>* The 2014/15 figures have been aligned with the final audited accounts.</t>
  </si>
  <si>
    <t>* The 2019/20 and 2020/21 columns assume an equivalent programme to 2018/19,</t>
  </si>
  <si>
    <t>* Publicity expenditure has been removed from the administration budget and shown separately</t>
  </si>
  <si>
    <t>* It has assumed that bookkeeping costs of £10,000 pa will be incurred following the retirement of the Financial Controller</t>
  </si>
  <si>
    <t>* It has been assumed that Membership and Game Fee rates will increase for 2017/18, producing increased income of £10,000 and £2,000 respectively for that and each subsequent year</t>
  </si>
  <si>
    <t>* It has been assumed that Membership and Game Fee rates will further increase for 2019/20, producing increased income of £10,000 and £2,000 respectively for that and each subsequent year</t>
  </si>
  <si>
    <t>* It has been assumed that net junior expenditure will be covered by the JRT</t>
  </si>
  <si>
    <t>* It has been assumed that there will be a drawdown of PIF 1 to maintain ECF reserves at £100,000</t>
  </si>
  <si>
    <t>* It has been assumed that the PIF 2 Fund and the shares in Chess Centre Ltd (currently an asset of PIF 1) will be transferred to the Chess Trust during 2016/17</t>
  </si>
  <si>
    <t>The "current perception" columns H to N make the following adjustments to Columns B to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</si>
</sst>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/>
    <xf numFmtId="3" fontId="3" fillId="0" borderId="0" xfId="0" applyNumberFormat="1" applyFont="1"/>
    <xf numFmtId="3" fontId="2" fillId="0" borderId="0" xfId="0" applyNumberFormat="1" applyFont="1"/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0" fontId="2" fillId="0" borderId="0" xfId="0" applyFont="1" applyFill="1"/>
    <xf numFmtId="3" fontId="2" fillId="0" borderId="1" xfId="0" applyNumberFormat="1" applyFont="1" applyBorder="1"/>
    <xf numFmtId="49" fontId="5" fillId="0" borderId="0" xfId="0" applyNumberFormat="1" applyFont="1"/>
    <xf numFmtId="3" fontId="2" fillId="0" borderId="0" xfId="0" applyNumberFormat="1" applyFont="1" applyFill="1"/>
    <xf numFmtId="0" fontId="4" fillId="0" borderId="0" xfId="0" applyFont="1" applyFill="1"/>
    <xf numFmtId="3" fontId="4" fillId="0" borderId="0" xfId="0" applyNumberFormat="1" applyFont="1"/>
    <xf numFmtId="0" fontId="6" fillId="0" borderId="0" xfId="0" applyFont="1" applyFill="1"/>
    <xf numFmtId="3" fontId="2" fillId="0" borderId="3" xfId="0" applyNumberFormat="1" applyFont="1" applyBorder="1"/>
    <xf numFmtId="0" fontId="2" fillId="0" borderId="1" xfId="0" applyFont="1" applyBorder="1"/>
    <xf numFmtId="3" fontId="2" fillId="0" borderId="2" xfId="0" applyNumberFormat="1" applyFont="1" applyBorder="1"/>
    <xf numFmtId="3" fontId="2" fillId="0" borderId="0" xfId="0" applyNumberFormat="1" applyFont="1" applyBorder="1"/>
    <xf numFmtId="3" fontId="2" fillId="0" borderId="0" xfId="0" applyNumberFormat="1" applyFont="1" applyFill="1" applyBorder="1"/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/Documents/ECF/ECF%20accounts%20201516/Management%20accounts%20@%203%20Aug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A. Summary"/>
      <sheetName val="1B. Summary"/>
      <sheetName val="2. Memb"/>
      <sheetName val="3. Home"/>
      <sheetName val="4. Junior"/>
      <sheetName val="5. Int"/>
      <sheetName val="6. British"/>
      <sheetName val="7. Admin"/>
      <sheetName val="8. Library"/>
      <sheetName val="9. Workings"/>
    </sheetNames>
    <sheetDataSet>
      <sheetData sheetId="0"/>
      <sheetData sheetId="1"/>
      <sheetData sheetId="2"/>
      <sheetData sheetId="3"/>
      <sheetData sheetId="4"/>
      <sheetData sheetId="5"/>
      <sheetData sheetId="6">
        <row r="34">
          <cell r="H34">
            <v>71123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4.25" x14ac:dyDescent="0.2"/>
  <cols>
    <col min="1" max="1" width="30.140625" style="4" customWidth="1"/>
    <col min="2" max="9" width="9.7109375" style="11" customWidth="1"/>
    <col min="10" max="10" width="9.7109375" style="3" customWidth="1"/>
    <col min="11" max="253" width="9.140625" style="4"/>
    <col min="254" max="254" width="26.28515625" style="4" customWidth="1"/>
    <col min="255" max="509" width="9.140625" style="4"/>
    <col min="510" max="510" width="26.28515625" style="4" customWidth="1"/>
    <col min="511" max="765" width="9.140625" style="4"/>
    <col min="766" max="766" width="26.28515625" style="4" customWidth="1"/>
    <col min="767" max="1021" width="9.140625" style="4"/>
    <col min="1022" max="1022" width="26.28515625" style="4" customWidth="1"/>
    <col min="1023" max="1277" width="9.140625" style="4"/>
    <col min="1278" max="1278" width="26.28515625" style="4" customWidth="1"/>
    <col min="1279" max="1533" width="9.140625" style="4"/>
    <col min="1534" max="1534" width="26.28515625" style="4" customWidth="1"/>
    <col min="1535" max="1789" width="9.140625" style="4"/>
    <col min="1790" max="1790" width="26.28515625" style="4" customWidth="1"/>
    <col min="1791" max="2045" width="9.140625" style="4"/>
    <col min="2046" max="2046" width="26.28515625" style="4" customWidth="1"/>
    <col min="2047" max="2301" width="9.140625" style="4"/>
    <col min="2302" max="2302" width="26.28515625" style="4" customWidth="1"/>
    <col min="2303" max="2557" width="9.140625" style="4"/>
    <col min="2558" max="2558" width="26.28515625" style="4" customWidth="1"/>
    <col min="2559" max="2813" width="9.140625" style="4"/>
    <col min="2814" max="2814" width="26.28515625" style="4" customWidth="1"/>
    <col min="2815" max="3069" width="9.140625" style="4"/>
    <col min="3070" max="3070" width="26.28515625" style="4" customWidth="1"/>
    <col min="3071" max="3325" width="9.140625" style="4"/>
    <col min="3326" max="3326" width="26.28515625" style="4" customWidth="1"/>
    <col min="3327" max="3581" width="9.140625" style="4"/>
    <col min="3582" max="3582" width="26.28515625" style="4" customWidth="1"/>
    <col min="3583" max="3837" width="9.140625" style="4"/>
    <col min="3838" max="3838" width="26.28515625" style="4" customWidth="1"/>
    <col min="3839" max="4093" width="9.140625" style="4"/>
    <col min="4094" max="4094" width="26.28515625" style="4" customWidth="1"/>
    <col min="4095" max="4349" width="9.140625" style="4"/>
    <col min="4350" max="4350" width="26.28515625" style="4" customWidth="1"/>
    <col min="4351" max="4605" width="9.140625" style="4"/>
    <col min="4606" max="4606" width="26.28515625" style="4" customWidth="1"/>
    <col min="4607" max="4861" width="9.140625" style="4"/>
    <col min="4862" max="4862" width="26.28515625" style="4" customWidth="1"/>
    <col min="4863" max="5117" width="9.140625" style="4"/>
    <col min="5118" max="5118" width="26.28515625" style="4" customWidth="1"/>
    <col min="5119" max="5373" width="9.140625" style="4"/>
    <col min="5374" max="5374" width="26.28515625" style="4" customWidth="1"/>
    <col min="5375" max="5629" width="9.140625" style="4"/>
    <col min="5630" max="5630" width="26.28515625" style="4" customWidth="1"/>
    <col min="5631" max="5885" width="9.140625" style="4"/>
    <col min="5886" max="5886" width="26.28515625" style="4" customWidth="1"/>
    <col min="5887" max="6141" width="9.140625" style="4"/>
    <col min="6142" max="6142" width="26.28515625" style="4" customWidth="1"/>
    <col min="6143" max="6397" width="9.140625" style="4"/>
    <col min="6398" max="6398" width="26.28515625" style="4" customWidth="1"/>
    <col min="6399" max="6653" width="9.140625" style="4"/>
    <col min="6654" max="6654" width="26.28515625" style="4" customWidth="1"/>
    <col min="6655" max="6909" width="9.140625" style="4"/>
    <col min="6910" max="6910" width="26.28515625" style="4" customWidth="1"/>
    <col min="6911" max="7165" width="9.140625" style="4"/>
    <col min="7166" max="7166" width="26.28515625" style="4" customWidth="1"/>
    <col min="7167" max="7421" width="9.140625" style="4"/>
    <col min="7422" max="7422" width="26.28515625" style="4" customWidth="1"/>
    <col min="7423" max="7677" width="9.140625" style="4"/>
    <col min="7678" max="7678" width="26.28515625" style="4" customWidth="1"/>
    <col min="7679" max="7933" width="9.140625" style="4"/>
    <col min="7934" max="7934" width="26.28515625" style="4" customWidth="1"/>
    <col min="7935" max="8189" width="9.140625" style="4"/>
    <col min="8190" max="8190" width="26.28515625" style="4" customWidth="1"/>
    <col min="8191" max="8445" width="9.140625" style="4"/>
    <col min="8446" max="8446" width="26.28515625" style="4" customWidth="1"/>
    <col min="8447" max="8701" width="9.140625" style="4"/>
    <col min="8702" max="8702" width="26.28515625" style="4" customWidth="1"/>
    <col min="8703" max="8957" width="9.140625" style="4"/>
    <col min="8958" max="8958" width="26.28515625" style="4" customWidth="1"/>
    <col min="8959" max="9213" width="9.140625" style="4"/>
    <col min="9214" max="9214" width="26.28515625" style="4" customWidth="1"/>
    <col min="9215" max="9469" width="9.140625" style="4"/>
    <col min="9470" max="9470" width="26.28515625" style="4" customWidth="1"/>
    <col min="9471" max="9725" width="9.140625" style="4"/>
    <col min="9726" max="9726" width="26.28515625" style="4" customWidth="1"/>
    <col min="9727" max="9981" width="9.140625" style="4"/>
    <col min="9982" max="9982" width="26.28515625" style="4" customWidth="1"/>
    <col min="9983" max="10237" width="9.140625" style="4"/>
    <col min="10238" max="10238" width="26.28515625" style="4" customWidth="1"/>
    <col min="10239" max="10493" width="9.140625" style="4"/>
    <col min="10494" max="10494" width="26.28515625" style="4" customWidth="1"/>
    <col min="10495" max="10749" width="9.140625" style="4"/>
    <col min="10750" max="10750" width="26.28515625" style="4" customWidth="1"/>
    <col min="10751" max="11005" width="9.140625" style="4"/>
    <col min="11006" max="11006" width="26.28515625" style="4" customWidth="1"/>
    <col min="11007" max="11261" width="9.140625" style="4"/>
    <col min="11262" max="11262" width="26.28515625" style="4" customWidth="1"/>
    <col min="11263" max="11517" width="9.140625" style="4"/>
    <col min="11518" max="11518" width="26.28515625" style="4" customWidth="1"/>
    <col min="11519" max="11773" width="9.140625" style="4"/>
    <col min="11774" max="11774" width="26.28515625" style="4" customWidth="1"/>
    <col min="11775" max="12029" width="9.140625" style="4"/>
    <col min="12030" max="12030" width="26.28515625" style="4" customWidth="1"/>
    <col min="12031" max="12285" width="9.140625" style="4"/>
    <col min="12286" max="12286" width="26.28515625" style="4" customWidth="1"/>
    <col min="12287" max="12541" width="9.140625" style="4"/>
    <col min="12542" max="12542" width="26.28515625" style="4" customWidth="1"/>
    <col min="12543" max="12797" width="9.140625" style="4"/>
    <col min="12798" max="12798" width="26.28515625" style="4" customWidth="1"/>
    <col min="12799" max="13053" width="9.140625" style="4"/>
    <col min="13054" max="13054" width="26.28515625" style="4" customWidth="1"/>
    <col min="13055" max="13309" width="9.140625" style="4"/>
    <col min="13310" max="13310" width="26.28515625" style="4" customWidth="1"/>
    <col min="13311" max="13565" width="9.140625" style="4"/>
    <col min="13566" max="13566" width="26.28515625" style="4" customWidth="1"/>
    <col min="13567" max="13821" width="9.140625" style="4"/>
    <col min="13822" max="13822" width="26.28515625" style="4" customWidth="1"/>
    <col min="13823" max="14077" width="9.140625" style="4"/>
    <col min="14078" max="14078" width="26.28515625" style="4" customWidth="1"/>
    <col min="14079" max="14333" width="9.140625" style="4"/>
    <col min="14334" max="14334" width="26.28515625" style="4" customWidth="1"/>
    <col min="14335" max="14589" width="9.140625" style="4"/>
    <col min="14590" max="14590" width="26.28515625" style="4" customWidth="1"/>
    <col min="14591" max="14845" width="9.140625" style="4"/>
    <col min="14846" max="14846" width="26.28515625" style="4" customWidth="1"/>
    <col min="14847" max="15101" width="9.140625" style="4"/>
    <col min="15102" max="15102" width="26.28515625" style="4" customWidth="1"/>
    <col min="15103" max="15357" width="9.140625" style="4"/>
    <col min="15358" max="15358" width="26.28515625" style="4" customWidth="1"/>
    <col min="15359" max="15613" width="9.140625" style="4"/>
    <col min="15614" max="15614" width="26.28515625" style="4" customWidth="1"/>
    <col min="15615" max="15869" width="9.140625" style="4"/>
    <col min="15870" max="15870" width="26.28515625" style="4" customWidth="1"/>
    <col min="15871" max="16125" width="9.140625" style="4"/>
    <col min="16126" max="16126" width="26.28515625" style="4" customWidth="1"/>
    <col min="16127" max="16384" width="9.140625" style="4"/>
  </cols>
  <sheetData>
    <row r="1" spans="1:14" ht="15" x14ac:dyDescent="0.25">
      <c r="A1" s="1" t="s">
        <v>0</v>
      </c>
    </row>
    <row r="2" spans="1:14" ht="15" x14ac:dyDescent="0.25">
      <c r="A2" s="1" t="s">
        <v>60</v>
      </c>
    </row>
    <row r="3" spans="1:14" ht="15" x14ac:dyDescent="0.25">
      <c r="A3" s="1"/>
    </row>
    <row r="4" spans="1:14" ht="15" x14ac:dyDescent="0.25">
      <c r="A4" s="1"/>
      <c r="B4" s="11" t="s">
        <v>42</v>
      </c>
      <c r="J4" s="3" t="s">
        <v>38</v>
      </c>
    </row>
    <row r="5" spans="1:14" ht="15" x14ac:dyDescent="0.25">
      <c r="A5" s="1"/>
    </row>
    <row r="6" spans="1:14" ht="15" x14ac:dyDescent="0.25">
      <c r="A6" s="1"/>
      <c r="B6" s="16" t="s">
        <v>44</v>
      </c>
      <c r="C6" s="12" t="s">
        <v>37</v>
      </c>
      <c r="D6" s="13" t="s">
        <v>1</v>
      </c>
      <c r="E6" s="13" t="s">
        <v>2</v>
      </c>
      <c r="F6" s="13" t="s">
        <v>3</v>
      </c>
      <c r="H6" s="16" t="s">
        <v>44</v>
      </c>
      <c r="I6" s="12" t="s">
        <v>37</v>
      </c>
      <c r="J6" s="5" t="s">
        <v>1</v>
      </c>
      <c r="K6" s="5" t="s">
        <v>2</v>
      </c>
      <c r="L6" s="5" t="s">
        <v>3</v>
      </c>
      <c r="M6" s="5" t="s">
        <v>4</v>
      </c>
      <c r="N6" s="5" t="s">
        <v>5</v>
      </c>
    </row>
    <row r="7" spans="1:14" s="7" customFormat="1" ht="12.75" x14ac:dyDescent="0.2">
      <c r="A7" s="6"/>
      <c r="B7" s="12" t="s">
        <v>45</v>
      </c>
      <c r="C7" s="12" t="s">
        <v>36</v>
      </c>
      <c r="D7" s="13" t="s">
        <v>6</v>
      </c>
      <c r="E7" s="13" t="s">
        <v>6</v>
      </c>
      <c r="F7" s="13" t="s">
        <v>6</v>
      </c>
      <c r="G7" s="11"/>
      <c r="H7" s="12" t="s">
        <v>45</v>
      </c>
      <c r="I7" s="12" t="s">
        <v>36</v>
      </c>
      <c r="J7" s="5" t="s">
        <v>6</v>
      </c>
      <c r="K7" s="5" t="s">
        <v>6</v>
      </c>
      <c r="L7" s="5" t="s">
        <v>6</v>
      </c>
      <c r="M7" s="5" t="s">
        <v>6</v>
      </c>
      <c r="N7" s="5" t="s">
        <v>6</v>
      </c>
    </row>
    <row r="8" spans="1:14" s="7" customFormat="1" ht="12.75" x14ac:dyDescent="0.2">
      <c r="A8" s="6"/>
      <c r="B8" s="11"/>
      <c r="C8" s="11"/>
      <c r="D8" s="11"/>
      <c r="E8" s="11"/>
      <c r="F8" s="11"/>
      <c r="G8" s="11"/>
      <c r="H8" s="11"/>
      <c r="I8" s="11"/>
      <c r="J8" s="8"/>
    </row>
    <row r="9" spans="1:14" s="2" customFormat="1" ht="12.75" x14ac:dyDescent="0.2">
      <c r="A9" s="9" t="s">
        <v>7</v>
      </c>
      <c r="B9" s="11"/>
      <c r="C9" s="11"/>
      <c r="D9" s="11"/>
      <c r="E9" s="11"/>
      <c r="F9" s="11"/>
      <c r="G9" s="11"/>
      <c r="H9" s="11"/>
      <c r="I9" s="11"/>
      <c r="J9" s="3"/>
    </row>
    <row r="10" spans="1:14" s="2" customFormat="1" ht="12.75" x14ac:dyDescent="0.2">
      <c r="B10" s="11"/>
      <c r="C10" s="11"/>
      <c r="D10" s="11"/>
      <c r="E10" s="11"/>
      <c r="F10" s="11"/>
      <c r="G10" s="11"/>
      <c r="H10" s="11"/>
      <c r="I10" s="11"/>
      <c r="J10" s="3"/>
    </row>
    <row r="11" spans="1:14" s="2" customFormat="1" ht="12.75" x14ac:dyDescent="0.2">
      <c r="A11" s="2" t="s">
        <v>8</v>
      </c>
      <c r="B11" s="11">
        <v>141511.26944444448</v>
      </c>
      <c r="C11" s="11">
        <v>164227.99999999997</v>
      </c>
      <c r="D11" s="11">
        <v>164469.99999999997</v>
      </c>
      <c r="E11" s="11">
        <v>164711.99999999997</v>
      </c>
      <c r="F11" s="11">
        <v>164953.99999999997</v>
      </c>
      <c r="G11" s="11"/>
      <c r="H11" s="11">
        <v>141675</v>
      </c>
      <c r="I11" s="11">
        <v>164227.99999999997</v>
      </c>
      <c r="J11" s="11">
        <v>164469.99999999997</v>
      </c>
      <c r="K11" s="11">
        <f>164712+10000</f>
        <v>174712</v>
      </c>
      <c r="L11" s="11">
        <f>164954+10000</f>
        <v>174954</v>
      </c>
      <c r="M11" s="11">
        <f>164954+20000</f>
        <v>184954</v>
      </c>
      <c r="N11" s="11">
        <f>164954+20000</f>
        <v>184954</v>
      </c>
    </row>
    <row r="12" spans="1:14" s="2" customFormat="1" ht="12.75" x14ac:dyDescent="0.2">
      <c r="A12" s="2" t="s">
        <v>9</v>
      </c>
      <c r="B12" s="11">
        <v>16776.046581196577</v>
      </c>
      <c r="C12" s="11">
        <v>17450</v>
      </c>
      <c r="D12" s="11">
        <v>17460.099999999999</v>
      </c>
      <c r="E12" s="11">
        <v>17470.2</v>
      </c>
      <c r="F12" s="11">
        <v>17480.3</v>
      </c>
      <c r="G12" s="11"/>
      <c r="H12" s="11">
        <v>16243</v>
      </c>
      <c r="I12" s="11">
        <v>17450</v>
      </c>
      <c r="J12" s="11">
        <v>17460.099999999999</v>
      </c>
      <c r="K12" s="11">
        <f>17470.2+2000</f>
        <v>19470.2</v>
      </c>
      <c r="L12" s="11">
        <f>17480.3+2000</f>
        <v>19480.3</v>
      </c>
      <c r="M12" s="11">
        <f>17480.3+4000</f>
        <v>21480.3</v>
      </c>
      <c r="N12" s="11">
        <f>17480.3+4000</f>
        <v>21480.3</v>
      </c>
    </row>
    <row r="13" spans="1:14" s="2" customFormat="1" ht="12.75" x14ac:dyDescent="0.2">
      <c r="A13" s="2" t="s">
        <v>10</v>
      </c>
      <c r="B13" s="11">
        <v>9300</v>
      </c>
      <c r="C13" s="11">
        <v>16313</v>
      </c>
      <c r="D13" s="11">
        <v>16550</v>
      </c>
      <c r="E13" s="11">
        <v>16600</v>
      </c>
      <c r="F13" s="11">
        <v>16650</v>
      </c>
      <c r="G13" s="11"/>
      <c r="H13" s="11">
        <v>9308</v>
      </c>
      <c r="I13" s="11">
        <v>16313</v>
      </c>
      <c r="J13" s="11">
        <v>16550</v>
      </c>
      <c r="K13" s="11">
        <v>16600</v>
      </c>
      <c r="L13" s="11">
        <v>16650</v>
      </c>
      <c r="M13" s="11">
        <v>16650</v>
      </c>
      <c r="N13" s="11">
        <v>16650</v>
      </c>
    </row>
    <row r="14" spans="1:14" s="2" customFormat="1" ht="12.75" x14ac:dyDescent="0.2">
      <c r="A14" s="2" t="s">
        <v>11</v>
      </c>
      <c r="B14" s="11">
        <v>170398.70333333331</v>
      </c>
      <c r="C14" s="11">
        <v>176365</v>
      </c>
      <c r="D14" s="11">
        <v>241733</v>
      </c>
      <c r="E14" s="11">
        <v>252233</v>
      </c>
      <c r="F14" s="11">
        <v>254233</v>
      </c>
      <c r="G14" s="11"/>
      <c r="H14" s="11">
        <v>171748</v>
      </c>
      <c r="I14" s="11">
        <f>176365-16833</f>
        <v>159532</v>
      </c>
      <c r="J14" s="11">
        <v>241733</v>
      </c>
      <c r="K14" s="11">
        <v>252233</v>
      </c>
      <c r="L14" s="11">
        <v>254233</v>
      </c>
      <c r="M14" s="11">
        <v>254233</v>
      </c>
      <c r="N14" s="11">
        <v>254233</v>
      </c>
    </row>
    <row r="15" spans="1:14" s="2" customFormat="1" ht="12.75" x14ac:dyDescent="0.2">
      <c r="A15" s="2" t="s">
        <v>12</v>
      </c>
      <c r="B15" s="11">
        <v>15707.856666666667</v>
      </c>
      <c r="C15" s="11">
        <v>26311</v>
      </c>
      <c r="D15" s="11">
        <v>20500</v>
      </c>
      <c r="E15" s="11">
        <v>13000</v>
      </c>
      <c r="F15" s="11">
        <v>13000</v>
      </c>
      <c r="G15" s="11"/>
      <c r="H15" s="11">
        <v>15811</v>
      </c>
      <c r="I15" s="11">
        <v>26311</v>
      </c>
      <c r="J15" s="11">
        <v>20500</v>
      </c>
      <c r="K15" s="11">
        <v>13000</v>
      </c>
      <c r="L15" s="11">
        <v>13000</v>
      </c>
      <c r="M15" s="11">
        <v>13000</v>
      </c>
      <c r="N15" s="11">
        <v>13000</v>
      </c>
    </row>
    <row r="16" spans="1:14" s="2" customFormat="1" ht="12.75" x14ac:dyDescent="0.2">
      <c r="A16" s="2" t="s">
        <v>13</v>
      </c>
      <c r="B16" s="11">
        <v>68632</v>
      </c>
      <c r="C16" s="11">
        <v>74500</v>
      </c>
      <c r="D16" s="11">
        <v>69500</v>
      </c>
      <c r="E16" s="11">
        <v>55500</v>
      </c>
      <c r="F16" s="11">
        <v>68500</v>
      </c>
      <c r="G16" s="11"/>
      <c r="H16" s="11">
        <v>68144</v>
      </c>
      <c r="I16" s="11">
        <v>74500</v>
      </c>
      <c r="J16" s="11">
        <v>69500</v>
      </c>
      <c r="K16" s="11">
        <v>55500</v>
      </c>
      <c r="L16" s="11">
        <v>68500</v>
      </c>
      <c r="M16" s="11">
        <v>68500</v>
      </c>
      <c r="N16" s="11">
        <v>68500</v>
      </c>
    </row>
    <row r="17" spans="1:20" s="2" customFormat="1" ht="12.75" x14ac:dyDescent="0.2">
      <c r="A17" s="2" t="s">
        <v>14</v>
      </c>
      <c r="B17" s="11">
        <v>2976.626666666667</v>
      </c>
      <c r="C17" s="11">
        <v>4350</v>
      </c>
      <c r="D17" s="11">
        <v>6250</v>
      </c>
      <c r="E17" s="11">
        <v>6250</v>
      </c>
      <c r="F17" s="11">
        <v>6250</v>
      </c>
      <c r="G17" s="11"/>
      <c r="H17" s="11">
        <v>4115</v>
      </c>
      <c r="I17" s="11">
        <v>4350</v>
      </c>
      <c r="J17" s="11">
        <v>6250</v>
      </c>
      <c r="K17" s="11">
        <v>6250</v>
      </c>
      <c r="L17" s="11">
        <v>6250</v>
      </c>
      <c r="M17" s="11">
        <v>6250</v>
      </c>
      <c r="N17" s="11">
        <v>6250</v>
      </c>
    </row>
    <row r="18" spans="1:20" s="2" customFormat="1" ht="12.75" x14ac:dyDescent="0.2">
      <c r="A18" s="2" t="s">
        <v>15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/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</row>
    <row r="19" spans="1:20" s="2" customFormat="1" ht="12.75" x14ac:dyDescent="0.2">
      <c r="B19" s="11"/>
      <c r="C19" s="11"/>
      <c r="D19" s="11"/>
      <c r="E19" s="11"/>
      <c r="F19" s="11"/>
      <c r="G19" s="11"/>
      <c r="H19" s="11"/>
      <c r="I19" s="11"/>
      <c r="J19" s="22"/>
    </row>
    <row r="20" spans="1:20" s="2" customFormat="1" ht="12.75" x14ac:dyDescent="0.2">
      <c r="B20" s="23">
        <f t="shared" ref="B20:F20" si="0">SUM(B11:B17)</f>
        <v>425302.50269230769</v>
      </c>
      <c r="C20" s="23">
        <f t="shared" ref="C20" si="1">SUM(C11:C17)</f>
        <v>479517</v>
      </c>
      <c r="D20" s="23">
        <f t="shared" si="0"/>
        <v>536463.1</v>
      </c>
      <c r="E20" s="23">
        <f t="shared" si="0"/>
        <v>525765.19999999995</v>
      </c>
      <c r="F20" s="23">
        <f t="shared" si="0"/>
        <v>541067.29999999993</v>
      </c>
      <c r="G20" s="11"/>
      <c r="H20" s="23">
        <f t="shared" ref="H20" si="2">SUM(H11:H17)</f>
        <v>427044</v>
      </c>
      <c r="I20" s="23">
        <f t="shared" ref="I20" si="3">SUM(I11:I17)</f>
        <v>462684</v>
      </c>
      <c r="J20" s="23">
        <f t="shared" ref="J20:N20" si="4">SUM(J11:J17)</f>
        <v>536463.1</v>
      </c>
      <c r="K20" s="23">
        <f t="shared" si="4"/>
        <v>537765.19999999995</v>
      </c>
      <c r="L20" s="23">
        <f t="shared" si="4"/>
        <v>553067.30000000005</v>
      </c>
      <c r="M20" s="23">
        <f t="shared" si="4"/>
        <v>565067.30000000005</v>
      </c>
      <c r="N20" s="23">
        <f t="shared" si="4"/>
        <v>565067.30000000005</v>
      </c>
    </row>
    <row r="21" spans="1:20" s="2" customFormat="1" ht="12.75" x14ac:dyDescent="0.2">
      <c r="B21" s="11"/>
      <c r="C21" s="11"/>
      <c r="D21" s="11"/>
      <c r="E21" s="11"/>
      <c r="F21" s="11"/>
      <c r="G21" s="11"/>
      <c r="H21" s="11"/>
      <c r="I21" s="11"/>
    </row>
    <row r="22" spans="1:20" s="2" customFormat="1" ht="12.75" x14ac:dyDescent="0.2">
      <c r="A22" s="9" t="s">
        <v>16</v>
      </c>
      <c r="B22" s="11"/>
      <c r="C22" s="11"/>
      <c r="D22" s="11"/>
      <c r="E22" s="11"/>
      <c r="F22" s="11"/>
      <c r="G22" s="11"/>
      <c r="H22" s="11"/>
      <c r="I22" s="11"/>
      <c r="Q22" s="11"/>
      <c r="R22" s="10"/>
      <c r="S22" s="10"/>
      <c r="T22" s="10"/>
    </row>
    <row r="23" spans="1:20" s="2" customFormat="1" ht="12.75" x14ac:dyDescent="0.2">
      <c r="B23" s="11"/>
      <c r="C23" s="11"/>
      <c r="D23" s="11"/>
      <c r="E23" s="11"/>
      <c r="F23" s="11"/>
      <c r="G23" s="11"/>
      <c r="H23" s="11"/>
      <c r="I23" s="11"/>
    </row>
    <row r="24" spans="1:20" s="2" customFormat="1" ht="12.75" x14ac:dyDescent="0.2">
      <c r="A24" s="2" t="s">
        <v>8</v>
      </c>
      <c r="B24" s="11">
        <v>14901.179392415552</v>
      </c>
      <c r="C24" s="11">
        <v>17921.62556366442</v>
      </c>
      <c r="D24" s="11">
        <v>16154.496411719942</v>
      </c>
      <c r="E24" s="11">
        <v>16163.317259775464</v>
      </c>
      <c r="F24" s="11">
        <v>16172.138107830986</v>
      </c>
      <c r="G24" s="11"/>
      <c r="H24" s="11">
        <v>15964</v>
      </c>
      <c r="I24" s="11">
        <v>17921.62556366442</v>
      </c>
      <c r="J24" s="11">
        <v>16154</v>
      </c>
      <c r="K24" s="11">
        <v>16163.317259775464</v>
      </c>
      <c r="L24" s="11">
        <v>16172.138107830986</v>
      </c>
      <c r="M24" s="11">
        <v>16172.138107830986</v>
      </c>
      <c r="N24" s="11">
        <v>16172.138107830986</v>
      </c>
    </row>
    <row r="25" spans="1:20" s="2" customFormat="1" ht="12.75" x14ac:dyDescent="0.2">
      <c r="A25" s="2" t="s">
        <v>10</v>
      </c>
      <c r="B25" s="11">
        <v>16443.34</v>
      </c>
      <c r="C25" s="11">
        <v>25330</v>
      </c>
      <c r="D25" s="11">
        <v>27500</v>
      </c>
      <c r="E25" s="11">
        <v>27500</v>
      </c>
      <c r="F25" s="11">
        <v>27500</v>
      </c>
      <c r="G25" s="11"/>
      <c r="H25" s="11">
        <v>16443.34</v>
      </c>
      <c r="I25" s="11">
        <v>25330</v>
      </c>
      <c r="J25" s="11">
        <v>27500</v>
      </c>
      <c r="K25" s="11">
        <v>27500</v>
      </c>
      <c r="L25" s="11">
        <v>27500</v>
      </c>
      <c r="M25" s="11">
        <v>27500</v>
      </c>
      <c r="N25" s="11">
        <v>27500</v>
      </c>
    </row>
    <row r="26" spans="1:20" s="2" customFormat="1" ht="12.75" x14ac:dyDescent="0.2">
      <c r="A26" s="2" t="s">
        <v>11</v>
      </c>
      <c r="B26" s="11">
        <v>172823.91000000003</v>
      </c>
      <c r="C26" s="11">
        <v>184065</v>
      </c>
      <c r="D26" s="11">
        <v>254211</v>
      </c>
      <c r="E26" s="11">
        <v>270202</v>
      </c>
      <c r="F26" s="11">
        <v>273842</v>
      </c>
      <c r="G26" s="11"/>
      <c r="H26" s="11">
        <v>170614</v>
      </c>
      <c r="I26" s="11">
        <f>184065-17087</f>
        <v>166978</v>
      </c>
      <c r="J26" s="11">
        <v>254211</v>
      </c>
      <c r="K26" s="11">
        <v>270202</v>
      </c>
      <c r="L26" s="11">
        <v>273842</v>
      </c>
      <c r="M26" s="11">
        <v>273842</v>
      </c>
      <c r="N26" s="11">
        <v>273842</v>
      </c>
      <c r="P26" s="14"/>
    </row>
    <row r="27" spans="1:20" s="2" customFormat="1" ht="12.75" x14ac:dyDescent="0.2">
      <c r="A27" s="2" t="s">
        <v>12</v>
      </c>
      <c r="B27" s="11">
        <v>20434.943333333333</v>
      </c>
      <c r="C27" s="11">
        <v>66806</v>
      </c>
      <c r="D27" s="11">
        <v>71123</v>
      </c>
      <c r="E27" s="11">
        <v>78623</v>
      </c>
      <c r="F27" s="11">
        <v>83623</v>
      </c>
      <c r="G27" s="11"/>
      <c r="H27" s="11">
        <v>20586</v>
      </c>
      <c r="I27" s="11">
        <v>66806</v>
      </c>
      <c r="J27" s="11">
        <f>'[1]5. Int'!H34</f>
        <v>71123</v>
      </c>
      <c r="K27" s="11">
        <v>78623</v>
      </c>
      <c r="L27" s="11">
        <v>83623</v>
      </c>
      <c r="M27" s="11">
        <v>83623</v>
      </c>
      <c r="N27" s="11">
        <v>83623</v>
      </c>
    </row>
    <row r="28" spans="1:20" s="2" customFormat="1" ht="12.75" x14ac:dyDescent="0.2">
      <c r="A28" s="2" t="s">
        <v>13</v>
      </c>
      <c r="B28" s="11">
        <v>67737</v>
      </c>
      <c r="C28" s="11">
        <v>79500</v>
      </c>
      <c r="D28" s="11">
        <v>74500</v>
      </c>
      <c r="E28" s="11">
        <v>55500</v>
      </c>
      <c r="F28" s="11">
        <v>68500</v>
      </c>
      <c r="G28" s="11"/>
      <c r="H28" s="11">
        <v>68047</v>
      </c>
      <c r="I28" s="11">
        <v>79500</v>
      </c>
      <c r="J28" s="11">
        <v>74500</v>
      </c>
      <c r="K28" s="11">
        <v>55500</v>
      </c>
      <c r="L28" s="11">
        <v>68500</v>
      </c>
      <c r="M28" s="11">
        <v>68500</v>
      </c>
      <c r="N28" s="11">
        <v>68500</v>
      </c>
    </row>
    <row r="29" spans="1:20" s="2" customFormat="1" ht="12.75" x14ac:dyDescent="0.2">
      <c r="A29" s="2" t="s">
        <v>14</v>
      </c>
      <c r="B29" s="11">
        <v>75206.145333333334</v>
      </c>
      <c r="C29" s="11">
        <v>93449.85</v>
      </c>
      <c r="D29" s="11">
        <v>103807</v>
      </c>
      <c r="E29" s="11">
        <v>105264</v>
      </c>
      <c r="F29" s="11">
        <v>106668</v>
      </c>
      <c r="G29" s="11"/>
      <c r="H29" s="11">
        <f>72511+923</f>
        <v>73434</v>
      </c>
      <c r="I29" s="11">
        <v>93449.85</v>
      </c>
      <c r="J29" s="11">
        <f>103807-11500</f>
        <v>92307</v>
      </c>
      <c r="K29" s="11">
        <f>105264-K31</f>
        <v>93764</v>
      </c>
      <c r="L29" s="11">
        <f>106668-L31</f>
        <v>95168</v>
      </c>
      <c r="M29" s="11">
        <f t="shared" ref="M29:N29" si="5">106668-M31</f>
        <v>95168</v>
      </c>
      <c r="N29" s="11">
        <f t="shared" si="5"/>
        <v>95168</v>
      </c>
    </row>
    <row r="30" spans="1:20" s="2" customFormat="1" ht="12.75" x14ac:dyDescent="0.2">
      <c r="A30" s="2" t="s">
        <v>17</v>
      </c>
      <c r="G30" s="11"/>
      <c r="J30" s="11">
        <v>10000</v>
      </c>
      <c r="K30" s="11">
        <v>10000</v>
      </c>
      <c r="L30" s="11">
        <v>10000</v>
      </c>
      <c r="M30" s="11">
        <v>10000</v>
      </c>
      <c r="N30" s="11">
        <v>10000</v>
      </c>
    </row>
    <row r="31" spans="1:20" s="2" customFormat="1" ht="12.75" x14ac:dyDescent="0.2">
      <c r="A31" s="2" t="s">
        <v>18</v>
      </c>
      <c r="G31" s="11"/>
      <c r="J31" s="11">
        <v>11500</v>
      </c>
      <c r="K31" s="11">
        <f>J31</f>
        <v>11500</v>
      </c>
      <c r="L31" s="11">
        <f t="shared" ref="L31:N31" si="6">K31</f>
        <v>11500</v>
      </c>
      <c r="M31" s="11">
        <f t="shared" si="6"/>
        <v>11500</v>
      </c>
      <c r="N31" s="11">
        <f t="shared" si="6"/>
        <v>11500</v>
      </c>
    </row>
    <row r="32" spans="1:20" s="2" customFormat="1" ht="12.75" x14ac:dyDescent="0.2">
      <c r="A32" s="2" t="s">
        <v>15</v>
      </c>
      <c r="B32" s="11">
        <v>2319</v>
      </c>
      <c r="C32" s="11">
        <v>3268.4399999999996</v>
      </c>
      <c r="D32" s="11">
        <v>3378.6000000000004</v>
      </c>
      <c r="E32" s="11">
        <v>3378.6000000000004</v>
      </c>
      <c r="F32" s="11">
        <v>3378.6000000000004</v>
      </c>
      <c r="G32" s="11"/>
      <c r="H32" s="11">
        <v>2248</v>
      </c>
      <c r="I32" s="11">
        <v>3268.4399999999996</v>
      </c>
      <c r="J32" s="11">
        <v>3379</v>
      </c>
      <c r="K32" s="11">
        <v>3378.6000000000004</v>
      </c>
      <c r="L32" s="11">
        <v>3378.6000000000004</v>
      </c>
      <c r="M32" s="11">
        <v>3378.6000000000004</v>
      </c>
      <c r="N32" s="11">
        <v>3378.6000000000004</v>
      </c>
    </row>
    <row r="33" spans="1:14" s="2" customFormat="1" ht="12.75" x14ac:dyDescent="0.2">
      <c r="A33" s="2" t="s">
        <v>19</v>
      </c>
      <c r="B33" s="11"/>
      <c r="C33" s="11"/>
      <c r="D33" s="11">
        <v>5000</v>
      </c>
      <c r="E33" s="11">
        <v>5000</v>
      </c>
      <c r="F33" s="11">
        <v>5000</v>
      </c>
      <c r="G33" s="11"/>
      <c r="H33" s="11"/>
      <c r="I33" s="11"/>
      <c r="J33" s="11">
        <v>5000</v>
      </c>
      <c r="K33" s="11">
        <v>5000</v>
      </c>
      <c r="L33" s="11">
        <v>5000</v>
      </c>
      <c r="M33" s="11">
        <v>5000</v>
      </c>
      <c r="N33" s="11">
        <v>5000</v>
      </c>
    </row>
    <row r="34" spans="1:14" s="2" customFormat="1" ht="12.75" x14ac:dyDescent="0.2">
      <c r="A34" s="2" t="s">
        <v>20</v>
      </c>
      <c r="B34" s="11">
        <f>-B53</f>
        <v>11087</v>
      </c>
      <c r="C34" s="11">
        <v>1835.2168872671093</v>
      </c>
      <c r="D34" s="11">
        <v>-1835</v>
      </c>
      <c r="E34" s="11">
        <v>0</v>
      </c>
      <c r="F34" s="11">
        <v>0</v>
      </c>
      <c r="G34" s="11"/>
      <c r="H34" s="11">
        <f>-H53</f>
        <v>12750</v>
      </c>
      <c r="I34" s="11">
        <v>1835.2168872671093</v>
      </c>
      <c r="J34" s="17">
        <f t="shared" ref="J34:N34" si="7">-J53</f>
        <v>-1835</v>
      </c>
      <c r="K34" s="17">
        <f t="shared" si="7"/>
        <v>0</v>
      </c>
      <c r="L34" s="17">
        <f t="shared" si="7"/>
        <v>0</v>
      </c>
      <c r="M34" s="11">
        <f t="shared" si="7"/>
        <v>0</v>
      </c>
      <c r="N34" s="11">
        <f t="shared" si="7"/>
        <v>0</v>
      </c>
    </row>
    <row r="35" spans="1:14" s="2" customFormat="1" ht="12.75" x14ac:dyDescent="0.2">
      <c r="B35" s="11"/>
      <c r="C35" s="11"/>
      <c r="D35" s="11"/>
      <c r="E35" s="11"/>
      <c r="F35" s="11"/>
      <c r="G35" s="11"/>
      <c r="H35" s="11"/>
      <c r="I35" s="11"/>
      <c r="J35" s="11"/>
    </row>
    <row r="36" spans="1:14" s="2" customFormat="1" ht="12.75" x14ac:dyDescent="0.2">
      <c r="B36" s="23">
        <f t="shared" ref="B36:F36" si="8">SUM(B24:B34)</f>
        <v>380952.51805908227</v>
      </c>
      <c r="C36" s="23">
        <f t="shared" ref="C36" si="9">SUM(C24:C34)</f>
        <v>472176.13245093159</v>
      </c>
      <c r="D36" s="23">
        <f t="shared" si="8"/>
        <v>553839.09641171992</v>
      </c>
      <c r="E36" s="23">
        <f t="shared" si="8"/>
        <v>561630.91725977545</v>
      </c>
      <c r="F36" s="23">
        <f t="shared" si="8"/>
        <v>584683.73810783098</v>
      </c>
      <c r="G36" s="11"/>
      <c r="H36" s="23">
        <f t="shared" ref="H36" si="10">SUM(H24:H34)</f>
        <v>380086.33999999997</v>
      </c>
      <c r="I36" s="23">
        <f t="shared" ref="I36" si="11">SUM(I24:I34)</f>
        <v>455089.13245093159</v>
      </c>
      <c r="J36" s="23">
        <f t="shared" ref="J36:N36" si="12">SUM(J24:J34)</f>
        <v>563839</v>
      </c>
      <c r="K36" s="23">
        <f t="shared" si="12"/>
        <v>571630.91725977545</v>
      </c>
      <c r="L36" s="23">
        <f t="shared" si="12"/>
        <v>594683.73810783098</v>
      </c>
      <c r="M36" s="23">
        <f t="shared" si="12"/>
        <v>594683.73810783098</v>
      </c>
      <c r="N36" s="23">
        <f t="shared" si="12"/>
        <v>594683.73810783098</v>
      </c>
    </row>
    <row r="37" spans="1:14" s="2" customFormat="1" ht="12.75" x14ac:dyDescent="0.2">
      <c r="G37" s="11"/>
    </row>
    <row r="38" spans="1:14" s="2" customFormat="1" ht="13.5" thickBot="1" x14ac:dyDescent="0.25">
      <c r="A38" s="9" t="s">
        <v>21</v>
      </c>
      <c r="B38" s="21">
        <f t="shared" ref="B38:F38" si="13">B20-B36</f>
        <v>44349.984633225424</v>
      </c>
      <c r="C38" s="21">
        <f t="shared" ref="C38" si="14">C20-C36</f>
        <v>7340.8675490684109</v>
      </c>
      <c r="D38" s="21">
        <f t="shared" si="13"/>
        <v>-17375.996411719942</v>
      </c>
      <c r="E38" s="21">
        <f t="shared" si="13"/>
        <v>-35865.717259775498</v>
      </c>
      <c r="F38" s="21">
        <f t="shared" si="13"/>
        <v>-43616.438107831054</v>
      </c>
      <c r="G38" s="11"/>
      <c r="H38" s="21">
        <f t="shared" ref="H38" si="15">H20-H36</f>
        <v>46957.660000000033</v>
      </c>
      <c r="I38" s="21">
        <f t="shared" ref="I38" si="16">I20-I36</f>
        <v>7594.8675490684109</v>
      </c>
      <c r="J38" s="21">
        <f t="shared" ref="J38:N38" si="17">J20-J36</f>
        <v>-27375.900000000023</v>
      </c>
      <c r="K38" s="21">
        <f t="shared" si="17"/>
        <v>-33865.717259775498</v>
      </c>
      <c r="L38" s="21">
        <f t="shared" si="17"/>
        <v>-41616.438107830938</v>
      </c>
      <c r="M38" s="21">
        <f t="shared" si="17"/>
        <v>-29616.438107830938</v>
      </c>
      <c r="N38" s="21">
        <f t="shared" si="17"/>
        <v>-29616.438107830938</v>
      </c>
    </row>
    <row r="39" spans="1:14" s="2" customFormat="1" ht="13.5" thickTop="1" x14ac:dyDescent="0.2">
      <c r="B39" s="11"/>
      <c r="C39" s="11"/>
      <c r="D39" s="11"/>
      <c r="E39" s="11"/>
      <c r="F39" s="11"/>
      <c r="G39" s="11"/>
      <c r="H39" s="11"/>
      <c r="I39" s="11"/>
    </row>
    <row r="40" spans="1:14" s="2" customFormat="1" ht="12.75" x14ac:dyDescent="0.2">
      <c r="A40" s="9" t="s">
        <v>22</v>
      </c>
      <c r="B40" s="11"/>
      <c r="C40" s="11"/>
      <c r="D40" s="11"/>
      <c r="E40" s="11"/>
      <c r="F40" s="11"/>
      <c r="G40" s="11"/>
      <c r="H40" s="11"/>
      <c r="I40" s="11"/>
    </row>
    <row r="41" spans="1:14" x14ac:dyDescent="0.2">
      <c r="J41" s="2"/>
    </row>
    <row r="42" spans="1:14" x14ac:dyDescent="0.2">
      <c r="A42" s="2" t="s">
        <v>8</v>
      </c>
      <c r="B42" s="11">
        <f t="shared" ref="B42:F42" si="18">B11-B24</f>
        <v>126610.09005202893</v>
      </c>
      <c r="C42" s="11">
        <f t="shared" ref="C42" si="19">C11-C24</f>
        <v>146306.37443633555</v>
      </c>
      <c r="D42" s="11">
        <f t="shared" si="18"/>
        <v>148315.50358828003</v>
      </c>
      <c r="E42" s="11">
        <f t="shared" si="18"/>
        <v>148548.6827402245</v>
      </c>
      <c r="F42" s="11">
        <f t="shared" si="18"/>
        <v>148781.86189216899</v>
      </c>
      <c r="H42" s="11">
        <f t="shared" ref="H42" si="20">H11-H24</f>
        <v>125711</v>
      </c>
      <c r="I42" s="11">
        <f t="shared" ref="I42" si="21">I11-I24</f>
        <v>146306.37443633555</v>
      </c>
      <c r="J42" s="11">
        <f t="shared" ref="J42:N42" si="22">J11-J24</f>
        <v>148315.99999999997</v>
      </c>
      <c r="K42" s="11">
        <f t="shared" si="22"/>
        <v>158548.68274022453</v>
      </c>
      <c r="L42" s="11">
        <f t="shared" si="22"/>
        <v>158781.86189216902</v>
      </c>
      <c r="M42" s="11">
        <f t="shared" si="22"/>
        <v>168781.86189216902</v>
      </c>
      <c r="N42" s="11">
        <f t="shared" si="22"/>
        <v>168781.86189216902</v>
      </c>
    </row>
    <row r="43" spans="1:14" x14ac:dyDescent="0.2">
      <c r="A43" s="2" t="s">
        <v>9</v>
      </c>
      <c r="B43" s="11">
        <f t="shared" ref="B43:F43" si="23">B12</f>
        <v>16776.046581196577</v>
      </c>
      <c r="C43" s="11">
        <f t="shared" ref="C43" si="24">C12</f>
        <v>17450</v>
      </c>
      <c r="D43" s="11">
        <f t="shared" si="23"/>
        <v>17460.099999999999</v>
      </c>
      <c r="E43" s="11">
        <f t="shared" si="23"/>
        <v>17470.2</v>
      </c>
      <c r="F43" s="11">
        <f t="shared" si="23"/>
        <v>17480.3</v>
      </c>
      <c r="H43" s="11">
        <f t="shared" ref="H43" si="25">H12</f>
        <v>16243</v>
      </c>
      <c r="I43" s="11">
        <f t="shared" ref="I43" si="26">I12</f>
        <v>17450</v>
      </c>
      <c r="J43" s="11">
        <f t="shared" ref="J43:N43" si="27">J12</f>
        <v>17460.099999999999</v>
      </c>
      <c r="K43" s="11">
        <f t="shared" si="27"/>
        <v>19470.2</v>
      </c>
      <c r="L43" s="11">
        <f t="shared" si="27"/>
        <v>19480.3</v>
      </c>
      <c r="M43" s="11">
        <f t="shared" si="27"/>
        <v>21480.3</v>
      </c>
      <c r="N43" s="11">
        <f t="shared" si="27"/>
        <v>21480.3</v>
      </c>
    </row>
    <row r="44" spans="1:14" x14ac:dyDescent="0.2">
      <c r="A44" s="2" t="s">
        <v>10</v>
      </c>
      <c r="B44" s="11">
        <f t="shared" ref="B44:F44" si="28">B13-B25</f>
        <v>-7143.34</v>
      </c>
      <c r="C44" s="11">
        <f t="shared" ref="C44" si="29">C13-C25</f>
        <v>-9017</v>
      </c>
      <c r="D44" s="11">
        <f t="shared" si="28"/>
        <v>-10950</v>
      </c>
      <c r="E44" s="11">
        <f t="shared" si="28"/>
        <v>-10900</v>
      </c>
      <c r="F44" s="11">
        <f t="shared" si="28"/>
        <v>-10850</v>
      </c>
      <c r="H44" s="11">
        <f t="shared" ref="H44" si="30">H13-H25</f>
        <v>-7135.34</v>
      </c>
      <c r="I44" s="11">
        <f t="shared" ref="I44" si="31">I13-I25</f>
        <v>-9017</v>
      </c>
      <c r="J44" s="11">
        <f t="shared" ref="J44:N50" si="32">J13-J25</f>
        <v>-10950</v>
      </c>
      <c r="K44" s="11">
        <f t="shared" si="32"/>
        <v>-10900</v>
      </c>
      <c r="L44" s="11">
        <f t="shared" si="32"/>
        <v>-10850</v>
      </c>
      <c r="M44" s="11">
        <f t="shared" si="32"/>
        <v>-10850</v>
      </c>
      <c r="N44" s="11">
        <f t="shared" si="32"/>
        <v>-10850</v>
      </c>
    </row>
    <row r="45" spans="1:14" x14ac:dyDescent="0.2">
      <c r="A45" s="2" t="s">
        <v>11</v>
      </c>
      <c r="B45" s="11">
        <f t="shared" ref="B45:F45" si="33">B14-B26</f>
        <v>-2425.2066666667233</v>
      </c>
      <c r="C45" s="11">
        <f t="shared" ref="C45" si="34">C14-C26</f>
        <v>-7700</v>
      </c>
      <c r="D45" s="11">
        <f t="shared" si="33"/>
        <v>-12478</v>
      </c>
      <c r="E45" s="11">
        <f t="shared" si="33"/>
        <v>-17969</v>
      </c>
      <c r="F45" s="11">
        <f t="shared" si="33"/>
        <v>-19609</v>
      </c>
      <c r="H45" s="11">
        <f t="shared" ref="H45" si="35">H14-H26</f>
        <v>1134</v>
      </c>
      <c r="I45" s="11">
        <f t="shared" ref="I45" si="36">I14-I26</f>
        <v>-7446</v>
      </c>
      <c r="J45" s="11">
        <f t="shared" si="32"/>
        <v>-12478</v>
      </c>
      <c r="K45" s="11">
        <f t="shared" si="32"/>
        <v>-17969</v>
      </c>
      <c r="L45" s="11">
        <f t="shared" si="32"/>
        <v>-19609</v>
      </c>
      <c r="M45" s="11">
        <f t="shared" si="32"/>
        <v>-19609</v>
      </c>
      <c r="N45" s="11">
        <f t="shared" si="32"/>
        <v>-19609</v>
      </c>
    </row>
    <row r="46" spans="1:14" x14ac:dyDescent="0.2">
      <c r="A46" s="2" t="s">
        <v>12</v>
      </c>
      <c r="B46" s="11">
        <f t="shared" ref="B46:F46" si="37">B15-B27</f>
        <v>-4727.0866666666661</v>
      </c>
      <c r="C46" s="11">
        <f t="shared" ref="C46" si="38">C15-C27</f>
        <v>-40495</v>
      </c>
      <c r="D46" s="11">
        <f t="shared" si="37"/>
        <v>-50623</v>
      </c>
      <c r="E46" s="11">
        <f t="shared" si="37"/>
        <v>-65623</v>
      </c>
      <c r="F46" s="11">
        <f t="shared" si="37"/>
        <v>-70623</v>
      </c>
      <c r="H46" s="11">
        <f t="shared" ref="H46" si="39">H15-H27</f>
        <v>-4775</v>
      </c>
      <c r="I46" s="11">
        <f t="shared" ref="I46" si="40">I15-I27</f>
        <v>-40495</v>
      </c>
      <c r="J46" s="11">
        <f t="shared" si="32"/>
        <v>-50623</v>
      </c>
      <c r="K46" s="11">
        <f t="shared" si="32"/>
        <v>-65623</v>
      </c>
      <c r="L46" s="11">
        <f t="shared" si="32"/>
        <v>-70623</v>
      </c>
      <c r="M46" s="11">
        <f t="shared" si="32"/>
        <v>-70623</v>
      </c>
      <c r="N46" s="11">
        <f t="shared" si="32"/>
        <v>-70623</v>
      </c>
    </row>
    <row r="47" spans="1:14" x14ac:dyDescent="0.2">
      <c r="A47" s="2" t="s">
        <v>13</v>
      </c>
      <c r="B47" s="11">
        <f t="shared" ref="B47:F47" si="41">B16-B28</f>
        <v>895</v>
      </c>
      <c r="C47" s="11">
        <f t="shared" ref="C47" si="42">C16-C28</f>
        <v>-5000</v>
      </c>
      <c r="D47" s="11">
        <f t="shared" si="41"/>
        <v>-5000</v>
      </c>
      <c r="E47" s="11">
        <f t="shared" si="41"/>
        <v>0</v>
      </c>
      <c r="F47" s="11">
        <f t="shared" si="41"/>
        <v>0</v>
      </c>
      <c r="H47" s="11">
        <f t="shared" ref="H47" si="43">H16-H28</f>
        <v>97</v>
      </c>
      <c r="I47" s="11">
        <f t="shared" ref="I47" si="44">I16-I28</f>
        <v>-5000</v>
      </c>
      <c r="J47" s="11">
        <f t="shared" si="32"/>
        <v>-5000</v>
      </c>
      <c r="K47" s="11">
        <f t="shared" si="32"/>
        <v>0</v>
      </c>
      <c r="L47" s="11">
        <f t="shared" si="32"/>
        <v>0</v>
      </c>
      <c r="M47" s="11">
        <f t="shared" si="32"/>
        <v>0</v>
      </c>
      <c r="N47" s="11">
        <f t="shared" si="32"/>
        <v>0</v>
      </c>
    </row>
    <row r="48" spans="1:14" x14ac:dyDescent="0.2">
      <c r="A48" s="2" t="s">
        <v>14</v>
      </c>
      <c r="B48" s="11">
        <f t="shared" ref="B48:F48" si="45">B17-B29</f>
        <v>-72229.51866666667</v>
      </c>
      <c r="C48" s="11">
        <f t="shared" ref="C48" si="46">C17-C29</f>
        <v>-89099.85</v>
      </c>
      <c r="D48" s="11">
        <f t="shared" si="45"/>
        <v>-97557</v>
      </c>
      <c r="E48" s="11">
        <f t="shared" si="45"/>
        <v>-99014</v>
      </c>
      <c r="F48" s="11">
        <f t="shared" si="45"/>
        <v>-100418</v>
      </c>
      <c r="H48" s="11">
        <f t="shared" ref="H48" si="47">H17-H29</f>
        <v>-69319</v>
      </c>
      <c r="I48" s="11">
        <f t="shared" ref="I48" si="48">I17-I29</f>
        <v>-89099.85</v>
      </c>
      <c r="J48" s="11">
        <f t="shared" si="32"/>
        <v>-86057</v>
      </c>
      <c r="K48" s="11">
        <f t="shared" si="32"/>
        <v>-87514</v>
      </c>
      <c r="L48" s="11">
        <f t="shared" si="32"/>
        <v>-88918</v>
      </c>
      <c r="M48" s="11">
        <f t="shared" si="32"/>
        <v>-88918</v>
      </c>
      <c r="N48" s="11">
        <f t="shared" si="32"/>
        <v>-88918</v>
      </c>
    </row>
    <row r="49" spans="1:15" x14ac:dyDescent="0.2">
      <c r="A49" s="2" t="s">
        <v>17</v>
      </c>
      <c r="B49" s="11">
        <f t="shared" ref="B49:F49" si="49">B18-B30</f>
        <v>0</v>
      </c>
      <c r="C49" s="11">
        <f t="shared" ref="C49" si="50">C18-C30</f>
        <v>0</v>
      </c>
      <c r="D49" s="11">
        <f t="shared" si="49"/>
        <v>0</v>
      </c>
      <c r="E49" s="11">
        <f t="shared" si="49"/>
        <v>0</v>
      </c>
      <c r="F49" s="11">
        <f t="shared" si="49"/>
        <v>0</v>
      </c>
      <c r="H49" s="11">
        <f t="shared" ref="H49" si="51">H18-H30</f>
        <v>0</v>
      </c>
      <c r="I49" s="11">
        <f t="shared" ref="I49" si="52">I18-I30</f>
        <v>0</v>
      </c>
      <c r="J49" s="11">
        <f t="shared" si="32"/>
        <v>-10000</v>
      </c>
      <c r="K49" s="11">
        <f t="shared" si="32"/>
        <v>-10000</v>
      </c>
      <c r="L49" s="11">
        <f t="shared" si="32"/>
        <v>-10000</v>
      </c>
      <c r="M49" s="11">
        <f t="shared" si="32"/>
        <v>-10000</v>
      </c>
      <c r="N49" s="11">
        <f t="shared" si="32"/>
        <v>-10000</v>
      </c>
    </row>
    <row r="50" spans="1:15" x14ac:dyDescent="0.2">
      <c r="A50" s="2" t="s">
        <v>18</v>
      </c>
      <c r="B50" s="11">
        <f t="shared" ref="B50:F50" si="53">B19-B31</f>
        <v>0</v>
      </c>
      <c r="C50" s="11">
        <f t="shared" ref="C50" si="54">C19-C31</f>
        <v>0</v>
      </c>
      <c r="D50" s="11">
        <f t="shared" si="53"/>
        <v>0</v>
      </c>
      <c r="E50" s="11">
        <f t="shared" si="53"/>
        <v>0</v>
      </c>
      <c r="F50" s="11">
        <f t="shared" si="53"/>
        <v>0</v>
      </c>
      <c r="H50" s="11">
        <f t="shared" ref="H50" si="55">H19-H31</f>
        <v>0</v>
      </c>
      <c r="I50" s="11">
        <f t="shared" ref="I50" si="56">I19-I31</f>
        <v>0</v>
      </c>
      <c r="J50" s="11">
        <f t="shared" si="32"/>
        <v>-11500</v>
      </c>
      <c r="K50" s="11">
        <f t="shared" si="32"/>
        <v>-11500</v>
      </c>
      <c r="L50" s="11">
        <f t="shared" si="32"/>
        <v>-11500</v>
      </c>
      <c r="M50" s="11">
        <f t="shared" si="32"/>
        <v>-11500</v>
      </c>
      <c r="N50" s="11">
        <f t="shared" si="32"/>
        <v>-11500</v>
      </c>
    </row>
    <row r="51" spans="1:15" x14ac:dyDescent="0.2">
      <c r="A51" s="2" t="s">
        <v>15</v>
      </c>
      <c r="B51" s="11">
        <f t="shared" ref="B51:F51" si="57">B18-B32</f>
        <v>-2319</v>
      </c>
      <c r="C51" s="11">
        <f t="shared" ref="C51" si="58">C18-C32</f>
        <v>-3268.4399999999996</v>
      </c>
      <c r="D51" s="11">
        <f t="shared" si="57"/>
        <v>-3378.6000000000004</v>
      </c>
      <c r="E51" s="11">
        <f t="shared" si="57"/>
        <v>-3378.6000000000004</v>
      </c>
      <c r="F51" s="11">
        <f t="shared" si="57"/>
        <v>-3378.6000000000004</v>
      </c>
      <c r="H51" s="11">
        <f t="shared" ref="H51" si="59">H18-H32</f>
        <v>-2248</v>
      </c>
      <c r="I51" s="11">
        <f t="shared" ref="I51" si="60">I18-I32</f>
        <v>-3268.4399999999996</v>
      </c>
      <c r="J51" s="11">
        <f>J18-J32</f>
        <v>-3379</v>
      </c>
      <c r="K51" s="11">
        <f>K18-K32</f>
        <v>-3378.6000000000004</v>
      </c>
      <c r="L51" s="11">
        <f>L18-L32</f>
        <v>-3378.6000000000004</v>
      </c>
      <c r="M51" s="11">
        <f>M18-M32</f>
        <v>-3378.6000000000004</v>
      </c>
      <c r="N51" s="11">
        <f>N18-N32</f>
        <v>-3378.6000000000004</v>
      </c>
    </row>
    <row r="52" spans="1:15" x14ac:dyDescent="0.2">
      <c r="A52" s="2" t="s">
        <v>19</v>
      </c>
      <c r="B52" s="11">
        <f t="shared" ref="B52:F52" si="61">-B33</f>
        <v>0</v>
      </c>
      <c r="C52" s="11">
        <f t="shared" ref="C52" si="62">-C33</f>
        <v>0</v>
      </c>
      <c r="D52" s="11">
        <f t="shared" si="61"/>
        <v>-5000</v>
      </c>
      <c r="E52" s="11">
        <f t="shared" si="61"/>
        <v>-5000</v>
      </c>
      <c r="F52" s="11">
        <f t="shared" si="61"/>
        <v>-5000</v>
      </c>
      <c r="H52" s="11">
        <f t="shared" ref="H52" si="63">-H33</f>
        <v>0</v>
      </c>
      <c r="I52" s="11">
        <f t="shared" ref="I52" si="64">-I33</f>
        <v>0</v>
      </c>
      <c r="J52" s="11">
        <f t="shared" ref="J52:N52" si="65">-J33</f>
        <v>-5000</v>
      </c>
      <c r="K52" s="11">
        <f t="shared" si="65"/>
        <v>-5000</v>
      </c>
      <c r="L52" s="11">
        <f t="shared" si="65"/>
        <v>-5000</v>
      </c>
      <c r="M52" s="11">
        <f t="shared" si="65"/>
        <v>-5000</v>
      </c>
      <c r="N52" s="11">
        <f t="shared" si="65"/>
        <v>-5000</v>
      </c>
    </row>
    <row r="53" spans="1:15" x14ac:dyDescent="0.2">
      <c r="A53" s="2" t="s">
        <v>20</v>
      </c>
      <c r="B53" s="11">
        <v>-11087</v>
      </c>
      <c r="C53" s="11">
        <v>-1835</v>
      </c>
      <c r="D53" s="11">
        <v>1835</v>
      </c>
      <c r="H53" s="11">
        <v>-12750</v>
      </c>
      <c r="I53" s="11">
        <v>-1835</v>
      </c>
      <c r="J53" s="11">
        <f>-I53</f>
        <v>1835</v>
      </c>
      <c r="K53" s="11"/>
      <c r="L53" s="11"/>
      <c r="M53" s="2"/>
      <c r="N53" s="2"/>
    </row>
    <row r="54" spans="1:15" x14ac:dyDescent="0.2">
      <c r="B54" s="4"/>
      <c r="C54" s="4"/>
      <c r="D54" s="4"/>
      <c r="E54" s="4"/>
      <c r="F54" s="4"/>
      <c r="H54" s="4"/>
      <c r="I54" s="4"/>
      <c r="J54" s="2"/>
    </row>
    <row r="55" spans="1:15" ht="15" thickBot="1" x14ac:dyDescent="0.25">
      <c r="A55" s="9" t="s">
        <v>21</v>
      </c>
      <c r="B55" s="21">
        <f t="shared" ref="B55:F55" si="66">SUM(B42:B53)</f>
        <v>44349.984633225453</v>
      </c>
      <c r="C55" s="21">
        <f t="shared" ref="C55" si="67">SUM(C42:C53)</f>
        <v>7341.0844363355463</v>
      </c>
      <c r="D55" s="21">
        <f t="shared" si="66"/>
        <v>-17375.996411719963</v>
      </c>
      <c r="E55" s="21">
        <f t="shared" si="66"/>
        <v>-35865.717259775491</v>
      </c>
      <c r="F55" s="21">
        <f t="shared" si="66"/>
        <v>-43616.438107831018</v>
      </c>
      <c r="H55" s="21">
        <f t="shared" ref="H55" si="68">SUM(H42:H53)</f>
        <v>46957.66</v>
      </c>
      <c r="I55" s="21">
        <f t="shared" ref="I55" si="69">SUM(I42:I53)</f>
        <v>7595.0844363355463</v>
      </c>
      <c r="J55" s="21">
        <f t="shared" ref="J55:N55" si="70">SUM(J42:J53)</f>
        <v>-27375.900000000023</v>
      </c>
      <c r="K55" s="21">
        <f t="shared" si="70"/>
        <v>-33865.717259775462</v>
      </c>
      <c r="L55" s="21">
        <f t="shared" si="70"/>
        <v>-41616.438107830989</v>
      </c>
      <c r="M55" s="21">
        <f t="shared" si="70"/>
        <v>-29616.438107830989</v>
      </c>
      <c r="N55" s="21">
        <f t="shared" si="70"/>
        <v>-29616.438107830989</v>
      </c>
    </row>
    <row r="56" spans="1:15" ht="15" thickTop="1" x14ac:dyDescent="0.2">
      <c r="A56" s="9"/>
      <c r="J56" s="24"/>
      <c r="K56" s="24"/>
      <c r="L56" s="24"/>
      <c r="M56" s="24"/>
      <c r="N56" s="24"/>
    </row>
    <row r="57" spans="1:15" x14ac:dyDescent="0.2">
      <c r="A57" s="9" t="s">
        <v>23</v>
      </c>
      <c r="J57" s="24"/>
      <c r="K57" s="24"/>
      <c r="L57" s="24"/>
      <c r="M57" s="24"/>
      <c r="N57" s="24"/>
    </row>
    <row r="58" spans="1:15" x14ac:dyDescent="0.2">
      <c r="A58" s="9"/>
      <c r="J58" s="24"/>
      <c r="K58" s="24"/>
      <c r="L58" s="24"/>
      <c r="M58" s="24"/>
      <c r="N58" s="24"/>
    </row>
    <row r="59" spans="1:15" x14ac:dyDescent="0.2">
      <c r="A59" s="2" t="s">
        <v>46</v>
      </c>
      <c r="J59" s="24">
        <v>591281</v>
      </c>
      <c r="K59" s="24">
        <f>J63</f>
        <v>578803</v>
      </c>
      <c r="L59" s="24">
        <f t="shared" ref="L59:N59" si="71">K63</f>
        <v>547834</v>
      </c>
      <c r="M59" s="24">
        <f t="shared" si="71"/>
        <v>513225</v>
      </c>
      <c r="N59" s="24">
        <f t="shared" si="71"/>
        <v>478616</v>
      </c>
      <c r="O59" s="2"/>
    </row>
    <row r="60" spans="1:15" x14ac:dyDescent="0.2">
      <c r="A60" s="2" t="s">
        <v>39</v>
      </c>
      <c r="J60" s="24"/>
      <c r="K60" s="24">
        <v>-13000</v>
      </c>
      <c r="L60" s="24">
        <v>-15000</v>
      </c>
      <c r="M60" s="24">
        <v>-15000</v>
      </c>
      <c r="N60" s="24">
        <v>-15000</v>
      </c>
    </row>
    <row r="61" spans="1:15" x14ac:dyDescent="0.2">
      <c r="A61" s="2" t="s">
        <v>24</v>
      </c>
      <c r="J61" s="24">
        <f>J45</f>
        <v>-12478</v>
      </c>
      <c r="K61" s="24">
        <f t="shared" ref="K61:N61" si="72">K45</f>
        <v>-17969</v>
      </c>
      <c r="L61" s="24">
        <f t="shared" si="72"/>
        <v>-19609</v>
      </c>
      <c r="M61" s="24">
        <f t="shared" si="72"/>
        <v>-19609</v>
      </c>
      <c r="N61" s="24">
        <f t="shared" si="72"/>
        <v>-19609</v>
      </c>
    </row>
    <row r="62" spans="1:15" x14ac:dyDescent="0.2">
      <c r="A62" s="2" t="s">
        <v>25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5" x14ac:dyDescent="0.2">
      <c r="A63" s="2" t="s">
        <v>40</v>
      </c>
      <c r="J63" s="23">
        <f>SUM(J59:J62)</f>
        <v>578803</v>
      </c>
      <c r="K63" s="23">
        <f t="shared" ref="K63:N63" si="73">SUM(K59:K62)</f>
        <v>547834</v>
      </c>
      <c r="L63" s="23">
        <f t="shared" si="73"/>
        <v>513225</v>
      </c>
      <c r="M63" s="23">
        <f t="shared" si="73"/>
        <v>478616</v>
      </c>
      <c r="N63" s="23">
        <f t="shared" si="73"/>
        <v>444007</v>
      </c>
    </row>
    <row r="64" spans="1:15" x14ac:dyDescent="0.2">
      <c r="A64" s="9"/>
      <c r="J64" s="24"/>
      <c r="K64" s="24"/>
      <c r="L64" s="24"/>
      <c r="M64" s="24"/>
      <c r="N64" s="24"/>
    </row>
    <row r="65" spans="1:16" x14ac:dyDescent="0.2">
      <c r="A65" s="9" t="s">
        <v>48</v>
      </c>
      <c r="J65" s="24"/>
      <c r="K65" s="24"/>
      <c r="L65" s="24"/>
      <c r="M65" s="24"/>
      <c r="N65" s="24"/>
    </row>
    <row r="66" spans="1:16" x14ac:dyDescent="0.2">
      <c r="A66" s="9"/>
      <c r="J66" s="24"/>
      <c r="K66" s="24"/>
      <c r="L66" s="24"/>
      <c r="M66" s="24"/>
      <c r="N66" s="24"/>
    </row>
    <row r="67" spans="1:16" x14ac:dyDescent="0.2">
      <c r="A67" s="2" t="s">
        <v>47</v>
      </c>
      <c r="J67" s="24">
        <f>289187+36849-124189</f>
        <v>201847</v>
      </c>
      <c r="K67" s="24">
        <f>J71</f>
        <v>159444.18443633552</v>
      </c>
      <c r="L67" s="24">
        <f t="shared" ref="L67:N67" si="74">K71</f>
        <v>143547.46717656005</v>
      </c>
      <c r="M67" s="24">
        <f t="shared" si="74"/>
        <v>121540.02906872907</v>
      </c>
      <c r="N67" s="24">
        <f t="shared" si="74"/>
        <v>111532.59096089807</v>
      </c>
      <c r="O67" s="2"/>
      <c r="P67" s="19"/>
    </row>
    <row r="68" spans="1:16" x14ac:dyDescent="0.2">
      <c r="A68" s="2" t="s">
        <v>50</v>
      </c>
      <c r="J68" s="24">
        <v>-36849</v>
      </c>
      <c r="K68" s="24"/>
      <c r="L68" s="24"/>
      <c r="M68" s="24"/>
      <c r="N68" s="24"/>
      <c r="O68" s="2"/>
    </row>
    <row r="69" spans="1:16" x14ac:dyDescent="0.2">
      <c r="A69" s="2" t="s">
        <v>24</v>
      </c>
      <c r="J69" s="24">
        <f>SUM(J96:J98)+J101-100000</f>
        <v>-5553.8155636644806</v>
      </c>
      <c r="K69" s="24">
        <f>SUM(K96:K98)+K101-100000</f>
        <v>-15896.717259775469</v>
      </c>
      <c r="L69" s="24">
        <f t="shared" ref="L69:N69" si="75">SUM(L96:L98)+L101-100000</f>
        <v>-22007.438107830982</v>
      </c>
      <c r="M69" s="24">
        <f t="shared" si="75"/>
        <v>-10007.438107830996</v>
      </c>
      <c r="N69" s="24">
        <f t="shared" si="75"/>
        <v>-10007.438107830982</v>
      </c>
    </row>
    <row r="70" spans="1:16" x14ac:dyDescent="0.2">
      <c r="A70" s="2" t="s">
        <v>25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</row>
    <row r="71" spans="1:16" x14ac:dyDescent="0.2">
      <c r="A71" s="2" t="s">
        <v>40</v>
      </c>
      <c r="J71" s="23">
        <f>SUM(J67:J70)</f>
        <v>159444.18443633552</v>
      </c>
      <c r="K71" s="23">
        <f t="shared" ref="K71:N71" si="76">SUM(K67:K70)</f>
        <v>143547.46717656005</v>
      </c>
      <c r="L71" s="23">
        <f t="shared" si="76"/>
        <v>121540.02906872907</v>
      </c>
      <c r="M71" s="23">
        <f t="shared" si="76"/>
        <v>111532.59096089807</v>
      </c>
      <c r="N71" s="23">
        <f t="shared" si="76"/>
        <v>101525.15285306709</v>
      </c>
    </row>
    <row r="72" spans="1:16" x14ac:dyDescent="0.2">
      <c r="A72" s="2"/>
      <c r="J72" s="24"/>
      <c r="K72" s="24"/>
      <c r="L72" s="24"/>
      <c r="M72" s="24"/>
      <c r="N72" s="24"/>
    </row>
    <row r="73" spans="1:16" x14ac:dyDescent="0.2">
      <c r="A73" s="9" t="s">
        <v>49</v>
      </c>
      <c r="J73" s="24"/>
      <c r="K73" s="24"/>
      <c r="L73" s="24"/>
      <c r="M73" s="24"/>
      <c r="N73" s="24"/>
    </row>
    <row r="74" spans="1:16" s="18" customFormat="1" x14ac:dyDescent="0.2">
      <c r="A74" s="14"/>
      <c r="B74" s="17"/>
      <c r="C74" s="17"/>
      <c r="D74" s="17"/>
      <c r="E74" s="17"/>
      <c r="F74" s="17"/>
      <c r="G74" s="17"/>
      <c r="H74" s="17"/>
      <c r="I74" s="17"/>
      <c r="J74" s="25"/>
      <c r="K74" s="25"/>
      <c r="L74" s="25"/>
      <c r="M74" s="25"/>
      <c r="N74" s="25"/>
    </row>
    <row r="75" spans="1:16" s="18" customFormat="1" x14ac:dyDescent="0.2">
      <c r="A75" s="2" t="s">
        <v>47</v>
      </c>
      <c r="B75" s="17"/>
      <c r="C75" s="17"/>
      <c r="D75" s="17"/>
      <c r="E75" s="17"/>
      <c r="F75" s="17"/>
      <c r="G75" s="17"/>
      <c r="H75" s="17"/>
      <c r="I75" s="17"/>
      <c r="J75" s="25">
        <v>124189</v>
      </c>
      <c r="K75" s="24">
        <f>J79</f>
        <v>0</v>
      </c>
      <c r="L75" s="24">
        <f t="shared" ref="L75" si="77">K79</f>
        <v>0</v>
      </c>
      <c r="M75" s="24">
        <f t="shared" ref="M75" si="78">L79</f>
        <v>0</v>
      </c>
      <c r="N75" s="24">
        <f t="shared" ref="N75" si="79">M79</f>
        <v>0</v>
      </c>
    </row>
    <row r="76" spans="1:16" s="18" customFormat="1" x14ac:dyDescent="0.2">
      <c r="A76" s="14" t="s">
        <v>50</v>
      </c>
      <c r="B76" s="17"/>
      <c r="C76" s="17"/>
      <c r="D76" s="17"/>
      <c r="E76" s="17"/>
      <c r="F76" s="17"/>
      <c r="G76" s="17"/>
      <c r="H76" s="17"/>
      <c r="I76" s="17"/>
      <c r="J76" s="25">
        <v>-124189</v>
      </c>
      <c r="K76" s="25"/>
      <c r="L76" s="25"/>
      <c r="M76" s="25"/>
      <c r="N76" s="25"/>
    </row>
    <row r="77" spans="1:16" s="18" customFormat="1" x14ac:dyDescent="0.2">
      <c r="A77" s="2" t="s">
        <v>24</v>
      </c>
      <c r="B77" s="17"/>
      <c r="C77" s="17"/>
      <c r="D77" s="17"/>
      <c r="E77" s="17"/>
      <c r="F77" s="17"/>
      <c r="G77" s="17"/>
      <c r="H77" s="17"/>
      <c r="I77" s="17"/>
      <c r="J77" s="25"/>
      <c r="K77" s="25"/>
      <c r="L77" s="25"/>
      <c r="M77" s="25"/>
      <c r="N77" s="25"/>
    </row>
    <row r="78" spans="1:16" s="18" customFormat="1" x14ac:dyDescent="0.2">
      <c r="A78" s="2" t="s">
        <v>25</v>
      </c>
      <c r="B78" s="17"/>
      <c r="C78" s="17"/>
      <c r="D78" s="17"/>
      <c r="E78" s="17"/>
      <c r="F78" s="17"/>
      <c r="G78" s="17"/>
      <c r="H78" s="17"/>
      <c r="I78" s="17"/>
      <c r="J78" s="25"/>
      <c r="K78" s="25"/>
      <c r="L78" s="25"/>
      <c r="M78" s="25"/>
      <c r="N78" s="25"/>
    </row>
    <row r="79" spans="1:16" s="18" customFormat="1" x14ac:dyDescent="0.2">
      <c r="A79" s="2" t="s">
        <v>40</v>
      </c>
      <c r="B79" s="17"/>
      <c r="C79" s="17"/>
      <c r="D79" s="17"/>
      <c r="E79" s="17"/>
      <c r="F79" s="17"/>
      <c r="G79" s="17"/>
      <c r="H79" s="17"/>
      <c r="I79" s="17"/>
      <c r="J79" s="23">
        <f>SUM(J75:J78)</f>
        <v>0</v>
      </c>
      <c r="K79" s="23">
        <f t="shared" ref="K79:N79" si="80">SUM(K75:K78)</f>
        <v>0</v>
      </c>
      <c r="L79" s="23">
        <f t="shared" si="80"/>
        <v>0</v>
      </c>
      <c r="M79" s="23">
        <f t="shared" si="80"/>
        <v>0</v>
      </c>
      <c r="N79" s="23">
        <f t="shared" si="80"/>
        <v>0</v>
      </c>
    </row>
    <row r="80" spans="1:16" x14ac:dyDescent="0.2">
      <c r="A80" s="2"/>
      <c r="J80" s="24"/>
      <c r="K80" s="24"/>
      <c r="L80" s="24"/>
      <c r="M80" s="24"/>
      <c r="N80" s="24"/>
    </row>
    <row r="81" spans="1:14" x14ac:dyDescent="0.2">
      <c r="A81" s="9" t="s">
        <v>51</v>
      </c>
      <c r="J81" s="24"/>
      <c r="K81" s="24"/>
      <c r="L81" s="24"/>
      <c r="M81" s="24"/>
      <c r="N81" s="24"/>
    </row>
    <row r="82" spans="1:14" x14ac:dyDescent="0.2">
      <c r="A82" s="2"/>
      <c r="J82" s="24"/>
      <c r="K82" s="24"/>
      <c r="L82" s="24"/>
      <c r="M82" s="24"/>
      <c r="N82" s="24"/>
    </row>
    <row r="83" spans="1:14" x14ac:dyDescent="0.2">
      <c r="A83" s="2" t="s">
        <v>52</v>
      </c>
      <c r="J83" s="24">
        <v>4000</v>
      </c>
      <c r="K83" s="24">
        <f>J90</f>
        <v>161038</v>
      </c>
      <c r="L83" s="24">
        <f t="shared" ref="L83:N83" si="81">K90</f>
        <v>161038</v>
      </c>
      <c r="M83" s="24">
        <f t="shared" si="81"/>
        <v>161038</v>
      </c>
      <c r="N83" s="24">
        <f t="shared" si="81"/>
        <v>161038</v>
      </c>
    </row>
    <row r="84" spans="1:14" x14ac:dyDescent="0.2">
      <c r="A84" s="2" t="s">
        <v>61</v>
      </c>
      <c r="J84" s="24">
        <f>-J68</f>
        <v>36849</v>
      </c>
      <c r="K84" s="24">
        <f t="shared" ref="K84:N84" si="82">-K68</f>
        <v>0</v>
      </c>
      <c r="L84" s="24">
        <f t="shared" si="82"/>
        <v>0</v>
      </c>
      <c r="M84" s="24">
        <f t="shared" si="82"/>
        <v>0</v>
      </c>
      <c r="N84" s="24">
        <f t="shared" si="82"/>
        <v>0</v>
      </c>
    </row>
    <row r="85" spans="1:14" x14ac:dyDescent="0.2">
      <c r="A85" s="2" t="s">
        <v>53</v>
      </c>
      <c r="J85" s="24">
        <f>-J76</f>
        <v>124189</v>
      </c>
      <c r="K85" s="24">
        <f t="shared" ref="K85:N85" si="83">-K76</f>
        <v>0</v>
      </c>
      <c r="L85" s="24">
        <f t="shared" si="83"/>
        <v>0</v>
      </c>
      <c r="M85" s="24">
        <f t="shared" si="83"/>
        <v>0</v>
      </c>
      <c r="N85" s="24">
        <f t="shared" si="83"/>
        <v>0</v>
      </c>
    </row>
    <row r="86" spans="1:14" x14ac:dyDescent="0.2">
      <c r="A86" s="2" t="s">
        <v>55</v>
      </c>
      <c r="J86" s="24"/>
      <c r="K86" s="24"/>
      <c r="L86" s="24"/>
      <c r="M86" s="24"/>
      <c r="N86" s="24"/>
    </row>
    <row r="87" spans="1:14" x14ac:dyDescent="0.2">
      <c r="A87" s="2" t="s">
        <v>54</v>
      </c>
      <c r="J87" s="24">
        <v>-4000</v>
      </c>
      <c r="K87" s="24"/>
      <c r="L87" s="24"/>
      <c r="M87" s="24"/>
      <c r="N87" s="24"/>
    </row>
    <row r="88" spans="1:14" x14ac:dyDescent="0.2">
      <c r="A88" s="2" t="s">
        <v>24</v>
      </c>
      <c r="J88" s="24"/>
      <c r="K88" s="24"/>
      <c r="L88" s="24"/>
      <c r="M88" s="24"/>
      <c r="N88" s="24"/>
    </row>
    <row r="89" spans="1:14" x14ac:dyDescent="0.2">
      <c r="A89" s="2" t="s">
        <v>25</v>
      </c>
      <c r="J89" s="24"/>
      <c r="K89" s="24"/>
      <c r="L89" s="24"/>
      <c r="M89" s="24"/>
      <c r="N89" s="24"/>
    </row>
    <row r="90" spans="1:14" x14ac:dyDescent="0.2">
      <c r="A90" s="2" t="s">
        <v>40</v>
      </c>
      <c r="J90" s="23">
        <f>SUM(J83:J89)</f>
        <v>161038</v>
      </c>
      <c r="K90" s="23">
        <f t="shared" ref="K90:N90" si="84">SUM(K83:K89)</f>
        <v>161038</v>
      </c>
      <c r="L90" s="23">
        <f t="shared" si="84"/>
        <v>161038</v>
      </c>
      <c r="M90" s="23">
        <f t="shared" si="84"/>
        <v>161038</v>
      </c>
      <c r="N90" s="23">
        <f t="shared" si="84"/>
        <v>161038</v>
      </c>
    </row>
    <row r="91" spans="1:14" x14ac:dyDescent="0.2">
      <c r="A91" s="2"/>
      <c r="J91" s="24"/>
      <c r="K91" s="24"/>
      <c r="L91" s="24"/>
      <c r="M91" s="24"/>
      <c r="N91" s="24"/>
    </row>
    <row r="92" spans="1:14" x14ac:dyDescent="0.2">
      <c r="J92" s="2"/>
    </row>
    <row r="93" spans="1:14" s="2" customFormat="1" ht="12.75" x14ac:dyDescent="0.2">
      <c r="A93" s="9" t="s">
        <v>43</v>
      </c>
      <c r="B93" s="11"/>
      <c r="C93" s="11"/>
      <c r="D93" s="11"/>
      <c r="E93" s="11"/>
      <c r="F93" s="11"/>
      <c r="G93" s="11"/>
      <c r="H93" s="11"/>
      <c r="I93" s="11"/>
    </row>
    <row r="94" spans="1:14" s="2" customFormat="1" ht="12.75" x14ac:dyDescent="0.2">
      <c r="A94" s="9"/>
      <c r="B94" s="11"/>
      <c r="C94" s="11"/>
      <c r="D94" s="11"/>
      <c r="E94" s="11"/>
      <c r="F94" s="11"/>
      <c r="G94" s="11"/>
      <c r="H94" s="11"/>
      <c r="I94" s="11"/>
    </row>
    <row r="95" spans="1:14" s="2" customFormat="1" ht="12.75" x14ac:dyDescent="0.2">
      <c r="A95" s="9" t="s">
        <v>27</v>
      </c>
      <c r="B95" s="11"/>
      <c r="C95" s="11"/>
      <c r="D95" s="11"/>
      <c r="E95" s="11"/>
      <c r="F95" s="11"/>
      <c r="G95" s="11"/>
      <c r="H95" s="11"/>
      <c r="I95" s="11"/>
    </row>
    <row r="96" spans="1:14" s="2" customFormat="1" ht="12.75" x14ac:dyDescent="0.2">
      <c r="A96" s="2" t="s">
        <v>28</v>
      </c>
      <c r="B96" s="11">
        <f>60933-43862-488</f>
        <v>16583</v>
      </c>
      <c r="C96" s="11">
        <f t="shared" ref="C96:F96" si="85">B100</f>
        <v>60932.984633225453</v>
      </c>
      <c r="D96" s="11">
        <f t="shared" si="85"/>
        <v>68274.069069560996</v>
      </c>
      <c r="E96" s="11">
        <f t="shared" si="85"/>
        <v>50898.072657841032</v>
      </c>
      <c r="F96" s="11">
        <f t="shared" si="85"/>
        <v>15032.355398065542</v>
      </c>
      <c r="G96" s="11"/>
      <c r="H96" s="11">
        <f>14501+2082</f>
        <v>16583</v>
      </c>
      <c r="I96" s="11">
        <v>63541</v>
      </c>
      <c r="J96" s="11">
        <f>I100</f>
        <v>71136.084436335543</v>
      </c>
      <c r="K96" s="11">
        <f>J100</f>
        <v>61792</v>
      </c>
      <c r="L96" s="11">
        <f t="shared" ref="L96:N96" si="86">K100</f>
        <v>61792.000000000007</v>
      </c>
      <c r="M96" s="11">
        <f t="shared" si="86"/>
        <v>61792</v>
      </c>
      <c r="N96" s="11">
        <f t="shared" si="86"/>
        <v>61792.000000000007</v>
      </c>
    </row>
    <row r="97" spans="1:14" s="2" customFormat="1" ht="12.75" x14ac:dyDescent="0.2">
      <c r="A97" s="2" t="s">
        <v>29</v>
      </c>
      <c r="B97" s="11">
        <f>B55</f>
        <v>44349.984633225453</v>
      </c>
      <c r="C97" s="11">
        <f t="shared" ref="C97:F97" si="87">C55</f>
        <v>7341.0844363355463</v>
      </c>
      <c r="D97" s="11">
        <f t="shared" si="87"/>
        <v>-17375.996411719963</v>
      </c>
      <c r="E97" s="11">
        <f t="shared" si="87"/>
        <v>-35865.717259775491</v>
      </c>
      <c r="F97" s="11">
        <f t="shared" si="87"/>
        <v>-43616.438107831018</v>
      </c>
      <c r="G97" s="11"/>
      <c r="H97" s="11">
        <f t="shared" ref="H97:N97" si="88">H55</f>
        <v>46957.66</v>
      </c>
      <c r="I97" s="11">
        <f t="shared" si="88"/>
        <v>7595.0844363355463</v>
      </c>
      <c r="J97" s="11">
        <f t="shared" si="88"/>
        <v>-27375.900000000023</v>
      </c>
      <c r="K97" s="11">
        <f t="shared" si="88"/>
        <v>-33865.717259775462</v>
      </c>
      <c r="L97" s="11">
        <f t="shared" si="88"/>
        <v>-41616.438107830989</v>
      </c>
      <c r="M97" s="11">
        <f t="shared" si="88"/>
        <v>-29616.438107830989</v>
      </c>
      <c r="N97" s="11">
        <f t="shared" si="88"/>
        <v>-29616.438107830989</v>
      </c>
    </row>
    <row r="98" spans="1:14" s="2" customFormat="1" ht="12.75" x14ac:dyDescent="0.2">
      <c r="A98" s="2" t="s">
        <v>30</v>
      </c>
      <c r="B98" s="11"/>
      <c r="C98" s="11"/>
      <c r="D98" s="11"/>
      <c r="E98" s="11"/>
      <c r="F98" s="11"/>
      <c r="G98" s="11"/>
      <c r="H98" s="11"/>
      <c r="I98" s="11"/>
      <c r="J98" s="11">
        <f>-J61</f>
        <v>12478</v>
      </c>
      <c r="K98" s="11">
        <f>-K61</f>
        <v>17969</v>
      </c>
      <c r="L98" s="11">
        <f>-L61</f>
        <v>19609</v>
      </c>
      <c r="M98" s="11">
        <f>-M61</f>
        <v>19609</v>
      </c>
      <c r="N98" s="11">
        <f>-N61</f>
        <v>19609</v>
      </c>
    </row>
    <row r="99" spans="1:14" s="2" customFormat="1" ht="12.75" x14ac:dyDescent="0.2">
      <c r="A99" s="2" t="s">
        <v>31</v>
      </c>
      <c r="B99" s="15"/>
      <c r="C99" s="15"/>
      <c r="D99" s="15"/>
      <c r="E99" s="15"/>
      <c r="F99" s="15"/>
      <c r="G99" s="11"/>
      <c r="H99" s="15"/>
      <c r="I99" s="15"/>
      <c r="J99" s="15">
        <f>-J69</f>
        <v>5553.8155636644806</v>
      </c>
      <c r="K99" s="15">
        <f>-K69</f>
        <v>15896.717259775469</v>
      </c>
      <c r="L99" s="15">
        <f>-L69</f>
        <v>22007.438107830982</v>
      </c>
      <c r="M99" s="15">
        <f>-M69</f>
        <v>10007.438107830996</v>
      </c>
      <c r="N99" s="15">
        <f>-N69</f>
        <v>10007.438107830982</v>
      </c>
    </row>
    <row r="100" spans="1:14" s="2" customFormat="1" ht="12.75" x14ac:dyDescent="0.2">
      <c r="A100" s="2" t="s">
        <v>32</v>
      </c>
      <c r="B100" s="11">
        <f t="shared" ref="B100:F100" si="89">SUM(B96:B99)</f>
        <v>60932.984633225453</v>
      </c>
      <c r="C100" s="11">
        <f t="shared" si="89"/>
        <v>68274.069069560996</v>
      </c>
      <c r="D100" s="11">
        <f t="shared" si="89"/>
        <v>50898.072657841032</v>
      </c>
      <c r="E100" s="11">
        <f t="shared" si="89"/>
        <v>15032.355398065542</v>
      </c>
      <c r="F100" s="11">
        <f t="shared" si="89"/>
        <v>-28584.082709765476</v>
      </c>
      <c r="G100" s="11"/>
      <c r="H100" s="11">
        <f>SUM(H96:H99)</f>
        <v>63540.66</v>
      </c>
      <c r="I100" s="11">
        <f>SUM(I96:I99)</f>
        <v>71136.084436335543</v>
      </c>
      <c r="J100" s="11">
        <f>SUM(J96:J99)</f>
        <v>61792</v>
      </c>
      <c r="K100" s="11">
        <f t="shared" ref="K100:N100" si="90">SUM(K96:K99)</f>
        <v>61792.000000000007</v>
      </c>
      <c r="L100" s="11">
        <f t="shared" si="90"/>
        <v>61792</v>
      </c>
      <c r="M100" s="11">
        <f t="shared" si="90"/>
        <v>61792.000000000007</v>
      </c>
      <c r="N100" s="11">
        <f t="shared" si="90"/>
        <v>61792</v>
      </c>
    </row>
    <row r="101" spans="1:14" s="2" customFormat="1" ht="12.75" x14ac:dyDescent="0.2">
      <c r="A101" s="2" t="s">
        <v>33</v>
      </c>
      <c r="B101" s="11">
        <v>38208</v>
      </c>
      <c r="C101" s="11">
        <v>38208</v>
      </c>
      <c r="D101" s="11">
        <v>38208</v>
      </c>
      <c r="E101" s="11">
        <v>38208</v>
      </c>
      <c r="F101" s="11">
        <v>38208</v>
      </c>
      <c r="G101" s="11"/>
      <c r="H101" s="11">
        <v>38208</v>
      </c>
      <c r="I101" s="11">
        <v>38208</v>
      </c>
      <c r="J101" s="11">
        <v>38208</v>
      </c>
      <c r="K101" s="11">
        <v>38208</v>
      </c>
      <c r="L101" s="11">
        <v>38208</v>
      </c>
      <c r="M101" s="11">
        <v>38208</v>
      </c>
      <c r="N101" s="11">
        <v>38208</v>
      </c>
    </row>
    <row r="102" spans="1:14" s="2" customFormat="1" ht="13.5" thickBot="1" x14ac:dyDescent="0.25">
      <c r="B102" s="21">
        <f t="shared" ref="B102:F102" si="91">B100+B101</f>
        <v>99140.984633225453</v>
      </c>
      <c r="C102" s="21">
        <f t="shared" si="91"/>
        <v>106482.069069561</v>
      </c>
      <c r="D102" s="21">
        <f t="shared" si="91"/>
        <v>89106.072657841025</v>
      </c>
      <c r="E102" s="21">
        <f t="shared" si="91"/>
        <v>53240.355398065542</v>
      </c>
      <c r="F102" s="21">
        <f t="shared" si="91"/>
        <v>9623.9172902345235</v>
      </c>
      <c r="G102" s="11"/>
      <c r="H102" s="21">
        <f>H100+H101</f>
        <v>101748.66</v>
      </c>
      <c r="I102" s="21">
        <f>I100+I101</f>
        <v>109344.08443633554</v>
      </c>
      <c r="J102" s="21">
        <f>J100+J101</f>
        <v>100000</v>
      </c>
      <c r="K102" s="21">
        <f t="shared" ref="K102:N102" si="92">K100+K101</f>
        <v>100000</v>
      </c>
      <c r="L102" s="21">
        <f t="shared" si="92"/>
        <v>100000</v>
      </c>
      <c r="M102" s="21">
        <f t="shared" si="92"/>
        <v>100000</v>
      </c>
      <c r="N102" s="21">
        <f t="shared" si="92"/>
        <v>100000</v>
      </c>
    </row>
    <row r="103" spans="1:14" s="2" customFormat="1" ht="13.5" thickTop="1" x14ac:dyDescent="0.2">
      <c r="B103" s="11"/>
      <c r="C103" s="11"/>
      <c r="D103" s="11"/>
      <c r="E103" s="11"/>
      <c r="F103" s="11"/>
      <c r="G103" s="11"/>
      <c r="H103" s="11"/>
      <c r="I103" s="24"/>
      <c r="J103" s="24"/>
      <c r="K103" s="24"/>
      <c r="L103" s="24"/>
      <c r="M103" s="24"/>
      <c r="N103" s="24"/>
    </row>
    <row r="104" spans="1:14" s="2" customFormat="1" ht="12.75" x14ac:dyDescent="0.2">
      <c r="A104" s="20" t="s">
        <v>57</v>
      </c>
      <c r="B104" s="11"/>
      <c r="C104" s="11"/>
      <c r="D104" s="11"/>
      <c r="E104" s="11"/>
      <c r="F104" s="11"/>
      <c r="G104" s="11"/>
      <c r="H104" s="11"/>
      <c r="I104" s="24"/>
      <c r="J104" s="24"/>
      <c r="K104" s="24"/>
      <c r="L104" s="24"/>
      <c r="M104" s="24"/>
      <c r="N104" s="24"/>
    </row>
    <row r="105" spans="1:14" s="2" customFormat="1" ht="12.75" x14ac:dyDescent="0.2">
      <c r="A105" s="14"/>
      <c r="B105" s="11"/>
      <c r="C105" s="11"/>
      <c r="D105" s="11"/>
      <c r="E105" s="11"/>
      <c r="F105" s="11"/>
      <c r="G105" s="11"/>
      <c r="H105" s="11"/>
      <c r="I105" s="24"/>
      <c r="J105" s="24"/>
      <c r="K105" s="24"/>
      <c r="L105" s="24"/>
      <c r="M105" s="24"/>
      <c r="N105" s="24"/>
    </row>
    <row r="106" spans="1:14" s="2" customFormat="1" ht="12.75" x14ac:dyDescent="0.2">
      <c r="A106" s="2" t="s">
        <v>34</v>
      </c>
      <c r="B106" s="11"/>
      <c r="C106" s="11"/>
      <c r="D106" s="11"/>
      <c r="E106" s="11"/>
      <c r="F106" s="11"/>
      <c r="G106" s="11"/>
      <c r="H106" s="11"/>
      <c r="I106" s="11">
        <f>I102</f>
        <v>109344.08443633554</v>
      </c>
      <c r="J106" s="24">
        <f>J113</f>
        <v>100000</v>
      </c>
      <c r="K106" s="24">
        <f t="shared" ref="K106:N106" si="93">K113</f>
        <v>100000</v>
      </c>
      <c r="L106" s="24">
        <f t="shared" si="93"/>
        <v>100000</v>
      </c>
      <c r="M106" s="24">
        <f t="shared" si="93"/>
        <v>100000</v>
      </c>
      <c r="N106" s="24">
        <f t="shared" si="93"/>
        <v>100000</v>
      </c>
    </row>
    <row r="107" spans="1:14" s="2" customFormat="1" ht="12.75" x14ac:dyDescent="0.2">
      <c r="A107" s="2" t="s">
        <v>26</v>
      </c>
      <c r="B107" s="11"/>
      <c r="C107" s="11"/>
      <c r="D107" s="11"/>
      <c r="E107" s="11"/>
      <c r="F107" s="11"/>
      <c r="G107" s="11"/>
      <c r="H107" s="11"/>
      <c r="I107" s="11">
        <v>201847</v>
      </c>
      <c r="J107" s="24">
        <f t="shared" ref="J107:N107" si="94">J114</f>
        <v>159444.18443633552</v>
      </c>
      <c r="K107" s="24">
        <f t="shared" si="94"/>
        <v>143547.46717656005</v>
      </c>
      <c r="L107" s="24">
        <f t="shared" si="94"/>
        <v>121540.02906872907</v>
      </c>
      <c r="M107" s="24">
        <f t="shared" si="94"/>
        <v>111532.59096089807</v>
      </c>
      <c r="N107" s="24">
        <f t="shared" si="94"/>
        <v>101525.15285306709</v>
      </c>
    </row>
    <row r="108" spans="1:14" s="2" customFormat="1" ht="12.75" x14ac:dyDescent="0.2">
      <c r="B108" s="11"/>
      <c r="C108" s="11"/>
      <c r="D108" s="11"/>
      <c r="E108" s="11"/>
      <c r="F108" s="11"/>
      <c r="G108" s="11"/>
      <c r="H108" s="11"/>
      <c r="I108" s="23">
        <f t="shared" ref="I108" si="95">I106+I107</f>
        <v>311191.08443633554</v>
      </c>
      <c r="J108" s="23">
        <f>J106+J107</f>
        <v>259444.18443633552</v>
      </c>
      <c r="K108" s="23">
        <f t="shared" ref="K108:N108" si="96">K106+K107</f>
        <v>243547.46717656005</v>
      </c>
      <c r="L108" s="23">
        <f t="shared" si="96"/>
        <v>221540.02906872908</v>
      </c>
      <c r="M108" s="23">
        <f t="shared" si="96"/>
        <v>211532.59096089809</v>
      </c>
      <c r="N108" s="23">
        <f t="shared" si="96"/>
        <v>201525.15285306709</v>
      </c>
    </row>
    <row r="109" spans="1:14" s="2" customFormat="1" ht="12.75" x14ac:dyDescent="0.2">
      <c r="B109" s="11"/>
      <c r="C109" s="11"/>
      <c r="D109" s="11"/>
      <c r="E109" s="11"/>
      <c r="F109" s="11"/>
      <c r="G109" s="11"/>
      <c r="H109" s="11"/>
      <c r="I109" s="11"/>
      <c r="J109" s="24"/>
      <c r="K109" s="24"/>
      <c r="L109" s="24"/>
      <c r="M109" s="24"/>
      <c r="N109" s="24"/>
    </row>
    <row r="110" spans="1:14" s="2" customFormat="1" ht="12.75" x14ac:dyDescent="0.2">
      <c r="B110" s="11"/>
      <c r="C110" s="11"/>
      <c r="D110" s="11"/>
      <c r="E110" s="11"/>
      <c r="F110" s="11"/>
      <c r="G110" s="11"/>
      <c r="H110" s="11"/>
      <c r="I110" s="11"/>
      <c r="J110" s="24"/>
      <c r="K110" s="24"/>
      <c r="L110" s="24"/>
      <c r="M110" s="24"/>
      <c r="N110" s="24"/>
    </row>
    <row r="111" spans="1:14" s="2" customFormat="1" ht="12.75" x14ac:dyDescent="0.2">
      <c r="A111" s="9" t="s">
        <v>58</v>
      </c>
      <c r="B111" s="11"/>
      <c r="C111" s="11"/>
      <c r="D111" s="11"/>
      <c r="E111" s="11"/>
      <c r="F111" s="11"/>
      <c r="G111" s="11"/>
      <c r="H111" s="11"/>
      <c r="I111" s="11"/>
      <c r="J111" s="24"/>
      <c r="K111" s="24"/>
      <c r="L111" s="24"/>
      <c r="M111" s="24"/>
      <c r="N111" s="24"/>
    </row>
    <row r="112" spans="1:14" s="2" customFormat="1" ht="12.75" x14ac:dyDescent="0.2">
      <c r="B112" s="11"/>
      <c r="C112" s="11"/>
      <c r="D112" s="11"/>
      <c r="E112" s="11"/>
      <c r="F112" s="11"/>
      <c r="G112" s="11"/>
      <c r="H112" s="11"/>
      <c r="I112" s="11"/>
      <c r="J112" s="24"/>
      <c r="K112" s="24"/>
      <c r="L112" s="24"/>
      <c r="M112" s="24"/>
      <c r="N112" s="24"/>
    </row>
    <row r="113" spans="1:14" s="2" customFormat="1" ht="12.75" x14ac:dyDescent="0.2">
      <c r="A113" s="2" t="s">
        <v>34</v>
      </c>
      <c r="B113" s="11"/>
      <c r="C113" s="11"/>
      <c r="D113" s="11"/>
      <c r="E113" s="11"/>
      <c r="F113" s="11"/>
      <c r="G113" s="11"/>
      <c r="H113" s="11"/>
      <c r="I113" s="11">
        <f>I102</f>
        <v>109344.08443633554</v>
      </c>
      <c r="J113" s="24">
        <f>J102</f>
        <v>100000</v>
      </c>
      <c r="K113" s="24">
        <f t="shared" ref="K113:N113" si="97">K102</f>
        <v>100000</v>
      </c>
      <c r="L113" s="24">
        <f t="shared" si="97"/>
        <v>100000</v>
      </c>
      <c r="M113" s="24">
        <f t="shared" si="97"/>
        <v>100000</v>
      </c>
      <c r="N113" s="24">
        <f t="shared" si="97"/>
        <v>100000</v>
      </c>
    </row>
    <row r="114" spans="1:14" s="2" customFormat="1" ht="12.75" x14ac:dyDescent="0.2">
      <c r="A114" s="2" t="s">
        <v>26</v>
      </c>
      <c r="B114" s="11"/>
      <c r="C114" s="11"/>
      <c r="D114" s="11"/>
      <c r="E114" s="11"/>
      <c r="F114" s="11"/>
      <c r="G114" s="11"/>
      <c r="H114" s="11"/>
      <c r="I114" s="11">
        <f>I108</f>
        <v>311191.08443633554</v>
      </c>
      <c r="J114" s="24">
        <f>J71</f>
        <v>159444.18443633552</v>
      </c>
      <c r="K114" s="24">
        <f>K71</f>
        <v>143547.46717656005</v>
      </c>
      <c r="L114" s="24">
        <f>L71</f>
        <v>121540.02906872907</v>
      </c>
      <c r="M114" s="24">
        <f>M71</f>
        <v>111532.59096089807</v>
      </c>
      <c r="N114" s="24">
        <f>N71</f>
        <v>101525.15285306709</v>
      </c>
    </row>
    <row r="115" spans="1:14" s="2" customFormat="1" ht="12.75" x14ac:dyDescent="0.2">
      <c r="A115" s="2" t="s">
        <v>56</v>
      </c>
      <c r="B115" s="11"/>
      <c r="C115" s="11"/>
      <c r="D115" s="11"/>
      <c r="E115" s="11"/>
      <c r="F115" s="11"/>
      <c r="G115" s="11"/>
      <c r="H115" s="11"/>
      <c r="I115" s="11">
        <f>J83</f>
        <v>4000</v>
      </c>
      <c r="J115" s="24">
        <f>J90</f>
        <v>161038</v>
      </c>
      <c r="K115" s="24">
        <f>K90</f>
        <v>161038</v>
      </c>
      <c r="L115" s="24">
        <f>L90</f>
        <v>161038</v>
      </c>
      <c r="M115" s="24">
        <f>M90</f>
        <v>161038</v>
      </c>
      <c r="N115" s="24">
        <f>N90</f>
        <v>161038</v>
      </c>
    </row>
    <row r="116" spans="1:14" s="2" customFormat="1" ht="12.75" x14ac:dyDescent="0.2">
      <c r="A116" s="2" t="s">
        <v>23</v>
      </c>
      <c r="B116" s="11"/>
      <c r="C116" s="11"/>
      <c r="D116" s="11"/>
      <c r="E116" s="11"/>
      <c r="F116" s="11"/>
      <c r="G116" s="11"/>
      <c r="H116" s="11"/>
      <c r="I116" s="11">
        <f>J59</f>
        <v>591281</v>
      </c>
      <c r="J116" s="24">
        <f>J63</f>
        <v>578803</v>
      </c>
      <c r="K116" s="24">
        <f>K63</f>
        <v>547834</v>
      </c>
      <c r="L116" s="24">
        <f>L63</f>
        <v>513225</v>
      </c>
      <c r="M116" s="24">
        <f>M63</f>
        <v>478616</v>
      </c>
      <c r="N116" s="24">
        <f>N63</f>
        <v>444007</v>
      </c>
    </row>
    <row r="117" spans="1:14" s="2" customFormat="1" ht="12.75" x14ac:dyDescent="0.2">
      <c r="B117" s="11"/>
      <c r="C117" s="11"/>
      <c r="D117" s="11"/>
      <c r="E117" s="11"/>
      <c r="F117" s="11"/>
      <c r="G117" s="11"/>
      <c r="H117" s="11"/>
      <c r="I117" s="23">
        <f>SUM(I113:I116)</f>
        <v>1015816.1688726711</v>
      </c>
      <c r="J117" s="23">
        <f>SUM(J113:J116)</f>
        <v>999285.18443633546</v>
      </c>
      <c r="K117" s="23">
        <f t="shared" ref="K117:N117" si="98">SUM(K113:K116)</f>
        <v>952419.46717656008</v>
      </c>
      <c r="L117" s="23">
        <f t="shared" si="98"/>
        <v>895803.02906872914</v>
      </c>
      <c r="M117" s="23">
        <f t="shared" si="98"/>
        <v>851186.59096089809</v>
      </c>
      <c r="N117" s="23">
        <f t="shared" si="98"/>
        <v>806570.15285306703</v>
      </c>
    </row>
    <row r="118" spans="1:14" s="2" customFormat="1" ht="12.75" x14ac:dyDescent="0.2">
      <c r="B118" s="11"/>
      <c r="C118" s="11"/>
      <c r="D118" s="11"/>
      <c r="E118" s="11"/>
      <c r="F118" s="11"/>
      <c r="G118" s="11"/>
      <c r="H118" s="11"/>
      <c r="I118" s="11"/>
      <c r="J118" s="24"/>
      <c r="K118" s="24"/>
      <c r="L118" s="24"/>
      <c r="M118" s="24"/>
      <c r="N118" s="24"/>
    </row>
    <row r="120" spans="1:14" s="2" customFormat="1" ht="12.75" x14ac:dyDescent="0.2">
      <c r="A120" s="9" t="s">
        <v>35</v>
      </c>
      <c r="B120" s="11"/>
      <c r="C120" s="11"/>
      <c r="D120" s="11"/>
      <c r="E120" s="11"/>
      <c r="F120" s="11"/>
      <c r="G120" s="11"/>
      <c r="H120" s="11"/>
      <c r="I120" s="11"/>
      <c r="J120" s="3"/>
    </row>
    <row r="121" spans="1:14" s="2" customFormat="1" ht="12.75" x14ac:dyDescent="0.2">
      <c r="A121" s="9"/>
      <c r="B121" s="11"/>
      <c r="C121" s="11"/>
      <c r="D121" s="11"/>
      <c r="E121" s="11"/>
      <c r="F121" s="11"/>
      <c r="G121" s="11"/>
      <c r="H121" s="11"/>
      <c r="I121" s="11"/>
      <c r="J121" s="3"/>
    </row>
    <row r="122" spans="1:14" x14ac:dyDescent="0.2">
      <c r="A122" s="2" t="s">
        <v>59</v>
      </c>
    </row>
    <row r="123" spans="1:14" x14ac:dyDescent="0.2">
      <c r="A123" s="2"/>
    </row>
    <row r="124" spans="1:14" x14ac:dyDescent="0.2">
      <c r="A124" s="2" t="s">
        <v>72</v>
      </c>
    </row>
    <row r="125" spans="1:14" x14ac:dyDescent="0.2">
      <c r="A125" s="2"/>
    </row>
    <row r="126" spans="1:14" x14ac:dyDescent="0.2">
      <c r="A126" s="2" t="s">
        <v>63</v>
      </c>
    </row>
    <row r="127" spans="1:14" x14ac:dyDescent="0.2">
      <c r="A127" s="2" t="s">
        <v>64</v>
      </c>
    </row>
    <row r="128" spans="1:14" x14ac:dyDescent="0.2">
      <c r="A128" s="2" t="s">
        <v>65</v>
      </c>
    </row>
    <row r="129" spans="1:10" x14ac:dyDescent="0.2">
      <c r="A129" s="2" t="s">
        <v>66</v>
      </c>
    </row>
    <row r="130" spans="1:10" x14ac:dyDescent="0.2">
      <c r="A130" s="2" t="s">
        <v>67</v>
      </c>
    </row>
    <row r="131" spans="1:10" x14ac:dyDescent="0.2">
      <c r="A131" s="2" t="s">
        <v>68</v>
      </c>
    </row>
    <row r="132" spans="1:10" x14ac:dyDescent="0.2">
      <c r="A132" s="2" t="s">
        <v>69</v>
      </c>
    </row>
    <row r="133" spans="1:10" x14ac:dyDescent="0.2">
      <c r="A133" s="2" t="s">
        <v>70</v>
      </c>
    </row>
    <row r="134" spans="1:10" x14ac:dyDescent="0.2">
      <c r="A134" s="2" t="s">
        <v>71</v>
      </c>
    </row>
    <row r="136" spans="1:10" x14ac:dyDescent="0.2">
      <c r="A136" s="2" t="s">
        <v>41</v>
      </c>
    </row>
    <row r="137" spans="1:10" x14ac:dyDescent="0.2">
      <c r="A137" s="2"/>
    </row>
    <row r="138" spans="1:10" s="2" customFormat="1" ht="12.75" x14ac:dyDescent="0.2">
      <c r="A138" s="2" t="s">
        <v>62</v>
      </c>
      <c r="B138" s="11"/>
      <c r="C138" s="11"/>
      <c r="D138" s="11"/>
      <c r="E138" s="11"/>
      <c r="F138" s="11"/>
      <c r="G138" s="11"/>
      <c r="H138" s="11"/>
      <c r="I138" s="11"/>
      <c r="J138" s="3"/>
    </row>
    <row r="139" spans="1:10" s="2" customFormat="1" ht="12.75" x14ac:dyDescent="0.2">
      <c r="B139" s="11"/>
      <c r="C139" s="11"/>
      <c r="D139" s="11"/>
      <c r="E139" s="11"/>
      <c r="F139" s="11"/>
      <c r="G139" s="11"/>
      <c r="H139" s="11"/>
      <c r="I139" s="11"/>
      <c r="J139" s="3"/>
    </row>
  </sheetData>
  <pageMargins left="0.7" right="0.7" top="0.75" bottom="0.75" header="0.3" footer="0.3"/>
  <pageSetup paperSize="9" scale="56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2016-09-21T22:06:54Z</cp:lastPrinted>
  <dcterms:created xsi:type="dcterms:W3CDTF">2016-08-23T17:56:32Z</dcterms:created>
  <dcterms:modified xsi:type="dcterms:W3CDTF">2016-09-21T22:36:39Z</dcterms:modified>
</cp:coreProperties>
</file>