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David\OneDrive\Documents\Chair of Council\Finance Council April 2024\Final agenda and papers\Final Papers\Budget\"/>
    </mc:Choice>
  </mc:AlternateContent>
  <xr:revisionPtr revIDLastSave="0" documentId="8_{55668D5C-86B4-4DAA-A2FF-B7198E5B2284}" xr6:coauthVersionLast="47" xr6:coauthVersionMax="47" xr10:uidLastSave="{00000000-0000-0000-0000-000000000000}"/>
  <bookViews>
    <workbookView xWindow="-120" yWindow="-120" windowWidth="20730" windowHeight="11160" firstSheet="5" activeTab="5" xr2:uid="{00000000-000D-0000-FFFF-FFFF00000000}"/>
  </bookViews>
  <sheets>
    <sheet name="Reserves summary post DCMS" sheetId="13" state="hidden" r:id="rId1"/>
    <sheet name="Summary of pricing options" sheetId="28" state="hidden" r:id="rId2"/>
    <sheet name="3 Year forecast - option 1" sheetId="27" state="hidden" r:id="rId3"/>
    <sheet name="3 Year forecast - option 2" sheetId="25" state="hidden" r:id="rId4"/>
    <sheet name="3 Year forecast - option 3" sheetId="26" state="hidden" r:id="rId5"/>
    <sheet name="3 Year forecast" sheetId="23" r:id="rId6"/>
    <sheet name="2025 Summary" sheetId="30" state="hidden" r:id="rId7"/>
    <sheet name="2023 actuals v budget" sheetId="33" r:id="rId8"/>
    <sheet name="Reserves reconciliation" sheetId="11" state="hidden" r:id="rId9"/>
    <sheet name="Reforecast 24 summary P&amp;L" sheetId="31" r:id="rId10"/>
    <sheet name="Budget 25 Summary P&amp;L" sheetId="2" r:id="rId11"/>
    <sheet name="DCMS Timeline" sheetId="16" r:id="rId12"/>
    <sheet name="Membership Summary Table" sheetId="19" state="hidden" r:id="rId13"/>
    <sheet name="2025 Budget Details &gt;&gt;&gt;" sheetId="32" state="hidden" r:id="rId14"/>
    <sheet name="Membership" sheetId="5" r:id="rId15"/>
    <sheet name="Admin" sheetId="6" r:id="rId16"/>
    <sheet name="Home" sheetId="3" r:id="rId17"/>
    <sheet name="Junior" sheetId="7" state="hidden" r:id="rId18"/>
    <sheet name="International" sheetId="4" r:id="rId19"/>
    <sheet name="Womens" sheetId="8" state="hidden" r:id="rId20"/>
    <sheet name="Events" sheetId="15" state="hidden" r:id="rId21"/>
    <sheet name="Profit and Loss -Q124" sheetId="10" state="hidden" r:id="rId22"/>
    <sheet name="Xero P&amp;L" sheetId="1" state="hidden" r:id="rId23"/>
    <sheet name="membership assumptions" sheetId="12" state="hidden" r:id="rId24"/>
    <sheet name="Membership Summary Table (2)" sheetId="21" state="hidden" r:id="rId25"/>
    <sheet name="Version control" sheetId="22" state="hidden" r:id="rId26"/>
    <sheet name="membership data" sheetId="18" state="hidden" r:id="rId27"/>
    <sheet name="Comments from directors" sheetId="29" state="hidden" r:id="rId28"/>
  </sheets>
  <definedNames>
    <definedName name="_xlnm._FilterDatabase" localSheetId="20" hidden="1">Events!$A$1:$G$1</definedName>
    <definedName name="_xlnm.Print_Area" localSheetId="5">'3 Year forecast'!$A$1:$G$63</definedName>
    <definedName name="_xlnm.Print_Area" localSheetId="14">Membership!$A$1:$J$45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G9" i="7"/>
  <c r="H9" i="7"/>
  <c r="G10" i="7"/>
  <c r="H10" i="7"/>
  <c r="G11" i="7"/>
  <c r="H11" i="7"/>
  <c r="G12" i="7"/>
  <c r="H12" i="7"/>
  <c r="G13" i="7"/>
  <c r="H13" i="7"/>
  <c r="G14" i="7"/>
  <c r="H14" i="7"/>
  <c r="G15" i="7"/>
  <c r="H15" i="7"/>
  <c r="H60" i="7"/>
  <c r="D67" i="7"/>
  <c r="C67" i="7"/>
  <c r="D66" i="7"/>
  <c r="C66" i="7"/>
  <c r="D65" i="7"/>
  <c r="C65" i="7"/>
  <c r="D64" i="7"/>
  <c r="C64" i="7"/>
  <c r="D63" i="7"/>
  <c r="C63" i="7"/>
  <c r="D62" i="7"/>
  <c r="C62" i="7"/>
  <c r="D61" i="7"/>
  <c r="C61" i="7"/>
  <c r="D60" i="7"/>
  <c r="G60" i="7" s="1"/>
  <c r="C60" i="7"/>
  <c r="E67" i="7"/>
  <c r="E60" i="7"/>
  <c r="D26" i="7" l="1"/>
  <c r="C8" i="7"/>
  <c r="C26" i="7" s="1"/>
  <c r="F25" i="21" l="1"/>
  <c r="G25" i="21" l="1"/>
  <c r="H25" i="21" s="1"/>
  <c r="N67" i="21" l="1"/>
  <c r="N65" i="21"/>
  <c r="L65" i="21"/>
  <c r="L64" i="21"/>
  <c r="D49" i="27" l="1"/>
  <c r="C49" i="27"/>
  <c r="B45" i="27"/>
  <c r="B49" i="27" s="1"/>
  <c r="B56" i="27" s="1"/>
  <c r="C54" i="27" s="1"/>
  <c r="C56" i="27" s="1"/>
  <c r="D54" i="27" s="1"/>
  <c r="D56" i="27" s="1"/>
  <c r="E54" i="27" s="1"/>
  <c r="F34" i="27"/>
  <c r="E34" i="27"/>
  <c r="E35" i="27" s="1"/>
  <c r="D34" i="27"/>
  <c r="C34" i="27"/>
  <c r="B34" i="27"/>
  <c r="B30" i="27"/>
  <c r="C29" i="27"/>
  <c r="D28" i="27" s="1"/>
  <c r="B29" i="27"/>
  <c r="C28" i="27"/>
  <c r="G34" i="27"/>
  <c r="G35" i="27" l="1"/>
  <c r="F35" i="27"/>
  <c r="C32" i="27"/>
  <c r="C30" i="27"/>
  <c r="M50" i="21" l="1"/>
  <c r="L50" i="21"/>
  <c r="M49" i="21"/>
  <c r="L49" i="21"/>
  <c r="M48" i="21"/>
  <c r="L48" i="21"/>
  <c r="M47" i="21"/>
  <c r="L47" i="21"/>
  <c r="M46" i="21"/>
  <c r="L46" i="21"/>
  <c r="M45" i="21"/>
  <c r="L45" i="21"/>
  <c r="M41" i="21"/>
  <c r="L41" i="21"/>
  <c r="M40" i="21"/>
  <c r="L40" i="21"/>
  <c r="M39" i="21"/>
  <c r="L39" i="21"/>
  <c r="K50" i="21"/>
  <c r="K49" i="21"/>
  <c r="K48" i="21"/>
  <c r="K47" i="21"/>
  <c r="K46" i="21"/>
  <c r="K45" i="21"/>
  <c r="K41" i="21"/>
  <c r="K40" i="21"/>
  <c r="K39" i="21"/>
  <c r="J50" i="21"/>
  <c r="J49" i="21"/>
  <c r="J48" i="21"/>
  <c r="J47" i="21"/>
  <c r="J46" i="21"/>
  <c r="J45" i="21"/>
  <c r="J41" i="21"/>
  <c r="J40" i="21"/>
  <c r="J39" i="21"/>
  <c r="I50" i="21"/>
  <c r="I49" i="21"/>
  <c r="I48" i="21"/>
  <c r="I47" i="21"/>
  <c r="I46" i="21"/>
  <c r="E56" i="21" s="1"/>
  <c r="L56" i="21" s="1"/>
  <c r="I45" i="21"/>
  <c r="I52" i="21" s="1"/>
  <c r="E52" i="21" s="1"/>
  <c r="L52" i="21" s="1"/>
  <c r="I41" i="21"/>
  <c r="I40" i="21"/>
  <c r="I39" i="21"/>
  <c r="E57" i="21" s="1"/>
  <c r="L57" i="21" s="1"/>
  <c r="B52" i="21"/>
  <c r="T50" i="21"/>
  <c r="S50" i="21"/>
  <c r="R50" i="21"/>
  <c r="Q50" i="21"/>
  <c r="N50" i="21"/>
  <c r="H50" i="21"/>
  <c r="G50" i="21"/>
  <c r="T49" i="21"/>
  <c r="S49" i="21"/>
  <c r="R49" i="21"/>
  <c r="Q49" i="21"/>
  <c r="N49" i="21"/>
  <c r="H49" i="21"/>
  <c r="G49" i="21"/>
  <c r="T48" i="21"/>
  <c r="S48" i="21"/>
  <c r="R48" i="21"/>
  <c r="Q48" i="21"/>
  <c r="N48" i="21"/>
  <c r="H48" i="21"/>
  <c r="G48" i="21"/>
  <c r="T47" i="21"/>
  <c r="S47" i="21"/>
  <c r="R47" i="21"/>
  <c r="Q47" i="21"/>
  <c r="N47" i="21"/>
  <c r="H47" i="21"/>
  <c r="G47" i="21"/>
  <c r="T46" i="21"/>
  <c r="S46" i="21"/>
  <c r="R46" i="21"/>
  <c r="Q46" i="21"/>
  <c r="N46" i="21"/>
  <c r="H46" i="21"/>
  <c r="G46" i="21"/>
  <c r="C56" i="21" s="1"/>
  <c r="T45" i="21"/>
  <c r="S45" i="21"/>
  <c r="R45" i="21"/>
  <c r="Q45" i="21"/>
  <c r="N45" i="21"/>
  <c r="H45" i="21"/>
  <c r="G45" i="21"/>
  <c r="B43" i="21"/>
  <c r="T41" i="21"/>
  <c r="S41" i="21"/>
  <c r="R41" i="21"/>
  <c r="Q41" i="21"/>
  <c r="N41" i="21"/>
  <c r="H41" i="21"/>
  <c r="G41" i="21"/>
  <c r="T40" i="21"/>
  <c r="S40" i="21"/>
  <c r="R40" i="21"/>
  <c r="Q40" i="21"/>
  <c r="N40" i="21"/>
  <c r="H40" i="21"/>
  <c r="G40" i="21"/>
  <c r="T39" i="21"/>
  <c r="S39" i="21"/>
  <c r="R39" i="21"/>
  <c r="Q39" i="21"/>
  <c r="N39" i="21"/>
  <c r="H39" i="21"/>
  <c r="G39" i="21"/>
  <c r="C57" i="21" s="1"/>
  <c r="D31" i="21"/>
  <c r="C31" i="21"/>
  <c r="D17" i="21"/>
  <c r="C17" i="21"/>
  <c r="D9" i="21"/>
  <c r="E6" i="21"/>
  <c r="B6" i="21"/>
  <c r="C5" i="21" s="1"/>
  <c r="C7" i="21" s="1"/>
  <c r="E5" i="21"/>
  <c r="D5" i="21"/>
  <c r="D7" i="21" s="1"/>
  <c r="D27" i="21" s="1"/>
  <c r="M57" i="19"/>
  <c r="L57" i="19"/>
  <c r="K57" i="19"/>
  <c r="J57" i="19"/>
  <c r="M56" i="19"/>
  <c r="L56" i="19"/>
  <c r="K56" i="19"/>
  <c r="J56" i="19"/>
  <c r="M50" i="19"/>
  <c r="L50" i="19"/>
  <c r="K50" i="19"/>
  <c r="J50" i="19"/>
  <c r="M49" i="19"/>
  <c r="L49" i="19"/>
  <c r="K49" i="19"/>
  <c r="J49" i="19"/>
  <c r="M48" i="19"/>
  <c r="L48" i="19"/>
  <c r="K48" i="19"/>
  <c r="J48" i="19"/>
  <c r="M47" i="19"/>
  <c r="L47" i="19"/>
  <c r="K47" i="19"/>
  <c r="J47" i="19"/>
  <c r="M46" i="19"/>
  <c r="L46" i="19"/>
  <c r="K46" i="19"/>
  <c r="J46" i="19"/>
  <c r="M45" i="19"/>
  <c r="L45" i="19"/>
  <c r="K45" i="19"/>
  <c r="J45" i="19"/>
  <c r="M41" i="19"/>
  <c r="L41" i="19"/>
  <c r="K41" i="19"/>
  <c r="J41" i="19"/>
  <c r="M40" i="19"/>
  <c r="L40" i="19"/>
  <c r="K40" i="19"/>
  <c r="J40" i="19"/>
  <c r="M39" i="19"/>
  <c r="L39" i="19"/>
  <c r="K39" i="19"/>
  <c r="J39" i="19"/>
  <c r="F6" i="21" l="1"/>
  <c r="G6" i="21" s="1"/>
  <c r="D29" i="27"/>
  <c r="D56" i="21"/>
  <c r="K56" i="21" s="1"/>
  <c r="H43" i="21"/>
  <c r="D43" i="21" s="1"/>
  <c r="K43" i="21" s="1"/>
  <c r="D57" i="21"/>
  <c r="K57" i="21" s="1"/>
  <c r="F57" i="21"/>
  <c r="M57" i="21" s="1"/>
  <c r="F56" i="21"/>
  <c r="M56" i="21" s="1"/>
  <c r="J52" i="21"/>
  <c r="F52" i="21" s="1"/>
  <c r="M52" i="21" s="1"/>
  <c r="F5" i="21"/>
  <c r="I43" i="21"/>
  <c r="E43" i="21" s="1"/>
  <c r="L43" i="21" s="1"/>
  <c r="J43" i="21"/>
  <c r="F43" i="21" s="1"/>
  <c r="M43" i="21" s="1"/>
  <c r="H52" i="21"/>
  <c r="D52" i="21" s="1"/>
  <c r="K52" i="21" s="1"/>
  <c r="B7" i="21"/>
  <c r="B27" i="21" s="1"/>
  <c r="C9" i="21"/>
  <c r="G43" i="21"/>
  <c r="C43" i="21" s="1"/>
  <c r="E7" i="21"/>
  <c r="E13" i="21" s="1"/>
  <c r="B54" i="21"/>
  <c r="T57" i="21"/>
  <c r="S57" i="21"/>
  <c r="R57" i="21"/>
  <c r="Q57" i="21"/>
  <c r="N57" i="21"/>
  <c r="C27" i="21"/>
  <c r="C29" i="21" s="1"/>
  <c r="C33" i="21" s="1"/>
  <c r="C13" i="21"/>
  <c r="S56" i="21"/>
  <c r="R56" i="21"/>
  <c r="T56" i="21"/>
  <c r="Q56" i="21"/>
  <c r="N56" i="21"/>
  <c r="D13" i="21"/>
  <c r="G52" i="21"/>
  <c r="G50" i="19"/>
  <c r="G49" i="19"/>
  <c r="G48" i="19"/>
  <c r="G47" i="19"/>
  <c r="G46" i="19"/>
  <c r="G45" i="19"/>
  <c r="G41" i="19"/>
  <c r="G40" i="19"/>
  <c r="G39" i="19"/>
  <c r="H57" i="19"/>
  <c r="G57" i="19"/>
  <c r="C57" i="19"/>
  <c r="C56" i="19"/>
  <c r="H56" i="19" s="1"/>
  <c r="H50" i="19"/>
  <c r="H49" i="19"/>
  <c r="H48" i="19"/>
  <c r="H47" i="19"/>
  <c r="H46" i="19"/>
  <c r="H45" i="19"/>
  <c r="H41" i="19"/>
  <c r="H40" i="19"/>
  <c r="H39" i="19"/>
  <c r="F7" i="21" l="1"/>
  <c r="F13" i="21" s="1"/>
  <c r="F15" i="21" s="1"/>
  <c r="F19" i="21" s="1"/>
  <c r="G5" i="21"/>
  <c r="G7" i="21" s="1"/>
  <c r="F29" i="27"/>
  <c r="D30" i="27"/>
  <c r="D32" i="27"/>
  <c r="E28" i="27"/>
  <c r="E29" i="27"/>
  <c r="I54" i="21"/>
  <c r="E54" i="21" s="1"/>
  <c r="E27" i="21"/>
  <c r="E29" i="21" s="1"/>
  <c r="E33" i="21" s="1"/>
  <c r="J54" i="21"/>
  <c r="F54" i="21" s="1"/>
  <c r="M54" i="21" s="1"/>
  <c r="B13" i="21"/>
  <c r="C15" i="21" s="1"/>
  <c r="C19" i="21" s="1"/>
  <c r="H54" i="21"/>
  <c r="D54" i="21" s="1"/>
  <c r="K54" i="21" s="1"/>
  <c r="D15" i="21"/>
  <c r="D19" i="21" s="1"/>
  <c r="E15" i="21"/>
  <c r="E19" i="21" s="1"/>
  <c r="H6" i="21"/>
  <c r="H5" i="21"/>
  <c r="G54" i="21"/>
  <c r="C52" i="21"/>
  <c r="D29" i="21"/>
  <c r="D33" i="21" s="1"/>
  <c r="G56" i="19"/>
  <c r="F27" i="21" l="1"/>
  <c r="F29" i="21" s="1"/>
  <c r="F33" i="21" s="1"/>
  <c r="E30" i="27"/>
  <c r="F28" i="27"/>
  <c r="F30" i="27" s="1"/>
  <c r="E32" i="27"/>
  <c r="G29" i="27"/>
  <c r="G32" i="27" s="1"/>
  <c r="F32" i="27"/>
  <c r="G28" i="27"/>
  <c r="H7" i="21"/>
  <c r="H27" i="21" s="1"/>
  <c r="H13" i="21"/>
  <c r="C54" i="21"/>
  <c r="G13" i="21"/>
  <c r="G15" i="21" s="1"/>
  <c r="G19" i="21" s="1"/>
  <c r="G27" i="21"/>
  <c r="G29" i="21" s="1"/>
  <c r="G30" i="27" l="1"/>
  <c r="F39" i="27"/>
  <c r="G33" i="21"/>
  <c r="L54" i="21"/>
  <c r="H15" i="21"/>
  <c r="H19" i="21" s="1"/>
  <c r="H29" i="21"/>
  <c r="F25" i="19"/>
  <c r="G25" i="19" s="1"/>
  <c r="H25" i="19" s="1"/>
  <c r="D31" i="19"/>
  <c r="C31" i="19"/>
  <c r="E39" i="27" l="1"/>
  <c r="G39" i="27"/>
  <c r="H33" i="21"/>
  <c r="C17" i="19" l="1"/>
  <c r="D17" i="19"/>
  <c r="F50" i="19"/>
  <c r="E50" i="19"/>
  <c r="F49" i="19"/>
  <c r="E49" i="19"/>
  <c r="F48" i="19"/>
  <c r="E48" i="19"/>
  <c r="F47" i="19"/>
  <c r="E47" i="19"/>
  <c r="F46" i="19"/>
  <c r="E46" i="19"/>
  <c r="F45" i="19"/>
  <c r="E45" i="19"/>
  <c r="F41" i="19"/>
  <c r="E41" i="19"/>
  <c r="F40" i="19"/>
  <c r="E40" i="19"/>
  <c r="F39" i="19"/>
  <c r="E39" i="19"/>
  <c r="B52" i="19"/>
  <c r="B43" i="19"/>
  <c r="E52" i="19" l="1"/>
  <c r="C52" i="19" s="1"/>
  <c r="F52" i="19"/>
  <c r="E43" i="19"/>
  <c r="C43" i="19" s="1"/>
  <c r="F43" i="19"/>
  <c r="B54" i="19"/>
  <c r="B6" i="19"/>
  <c r="C9" i="19" s="1"/>
  <c r="D43" i="19" l="1"/>
  <c r="G43" i="19"/>
  <c r="D52" i="19"/>
  <c r="G52" i="19"/>
  <c r="F54" i="19"/>
  <c r="E54" i="19"/>
  <c r="C54" i="19" s="1"/>
  <c r="C5" i="19"/>
  <c r="G54" i="19" l="1"/>
  <c r="D54" i="19"/>
  <c r="C7" i="19" l="1"/>
  <c r="B7" i="19"/>
  <c r="E6" i="19"/>
  <c r="F5" i="19" s="1"/>
  <c r="D9" i="19"/>
  <c r="E5" i="19"/>
  <c r="D5" i="19"/>
  <c r="D7" i="19" s="1"/>
  <c r="F47" i="12"/>
  <c r="E47" i="12"/>
  <c r="G46" i="12"/>
  <c r="G47" i="12" s="1"/>
  <c r="F46" i="12"/>
  <c r="E46" i="12"/>
  <c r="D46" i="12"/>
  <c r="C46" i="12"/>
  <c r="C47" i="12" s="1"/>
  <c r="C48" i="12" s="1"/>
  <c r="D49" i="12" s="1"/>
  <c r="B46" i="12"/>
  <c r="B47" i="12" s="1"/>
  <c r="B48" i="12" s="1"/>
  <c r="C49" i="12" s="1"/>
  <c r="D24" i="12"/>
  <c r="D33" i="12" s="1"/>
  <c r="C25" i="12"/>
  <c r="B33" i="12"/>
  <c r="C33" i="12"/>
  <c r="D44" i="12"/>
  <c r="E44" i="12" s="1"/>
  <c r="F44" i="12" s="1"/>
  <c r="G44" i="12" s="1"/>
  <c r="G27" i="12"/>
  <c r="G28" i="12" s="1"/>
  <c r="F27" i="12"/>
  <c r="F28" i="12" s="1"/>
  <c r="E27" i="12"/>
  <c r="E28" i="12" s="1"/>
  <c r="D27" i="12"/>
  <c r="C27" i="12"/>
  <c r="C28" i="12" s="1"/>
  <c r="C29" i="12" s="1"/>
  <c r="B27" i="12"/>
  <c r="B28" i="12" s="1"/>
  <c r="B29" i="12" s="1"/>
  <c r="B13" i="19" l="1"/>
  <c r="B27" i="19"/>
  <c r="C13" i="19"/>
  <c r="C15" i="19" s="1"/>
  <c r="C19" i="19" s="1"/>
  <c r="C27" i="19"/>
  <c r="D13" i="19"/>
  <c r="D27" i="19"/>
  <c r="D29" i="19" s="1"/>
  <c r="D33" i="19" s="1"/>
  <c r="E7" i="19"/>
  <c r="F6" i="19"/>
  <c r="F7" i="19" s="1"/>
  <c r="E24" i="12"/>
  <c r="F24" i="12" s="1"/>
  <c r="G24" i="12" s="1"/>
  <c r="D29" i="12"/>
  <c r="D48" i="12"/>
  <c r="E49" i="12" s="1"/>
  <c r="E48" i="12"/>
  <c r="F49" i="12" s="1"/>
  <c r="F48" i="12"/>
  <c r="G49" i="12" s="1"/>
  <c r="G48" i="12"/>
  <c r="C29" i="19" l="1"/>
  <c r="C33" i="19" s="1"/>
  <c r="F13" i="19"/>
  <c r="F27" i="19"/>
  <c r="E13" i="19"/>
  <c r="E15" i="19" s="1"/>
  <c r="E19" i="19" s="1"/>
  <c r="E27" i="19"/>
  <c r="E29" i="19" s="1"/>
  <c r="E33" i="19" s="1"/>
  <c r="D15" i="19"/>
  <c r="D19" i="19" s="1"/>
  <c r="G6" i="19"/>
  <c r="G5" i="19"/>
  <c r="D30" i="12"/>
  <c r="D35" i="12" s="1"/>
  <c r="C32" i="12"/>
  <c r="F119" i="18"/>
  <c r="D119" i="18"/>
  <c r="F118" i="18"/>
  <c r="D118" i="18"/>
  <c r="F117" i="18"/>
  <c r="D117" i="18"/>
  <c r="F116" i="18"/>
  <c r="D116" i="18"/>
  <c r="F115" i="18"/>
  <c r="D115" i="18"/>
  <c r="F114" i="18"/>
  <c r="D114" i="18"/>
  <c r="F113" i="18"/>
  <c r="D113" i="18"/>
  <c r="F112" i="18"/>
  <c r="D112" i="18"/>
  <c r="F111" i="18"/>
  <c r="D111" i="18"/>
  <c r="F110" i="18"/>
  <c r="D110" i="18"/>
  <c r="F109" i="18"/>
  <c r="D109" i="18"/>
  <c r="F108" i="18"/>
  <c r="D108" i="18"/>
  <c r="F107" i="18"/>
  <c r="D107" i="18"/>
  <c r="F106" i="18"/>
  <c r="D106" i="18"/>
  <c r="F105" i="18"/>
  <c r="D105" i="18"/>
  <c r="F104" i="18"/>
  <c r="D104" i="18"/>
  <c r="F103" i="18"/>
  <c r="D103" i="18"/>
  <c r="F102" i="18"/>
  <c r="D102" i="18"/>
  <c r="F101" i="18"/>
  <c r="D101" i="18"/>
  <c r="F100" i="18"/>
  <c r="D100" i="18"/>
  <c r="F99" i="18"/>
  <c r="D99" i="18"/>
  <c r="F98" i="18"/>
  <c r="D98" i="18"/>
  <c r="F97" i="18"/>
  <c r="D97" i="18"/>
  <c r="F96" i="18"/>
  <c r="D96" i="18"/>
  <c r="E95" i="18"/>
  <c r="F95" i="18" s="1"/>
  <c r="D95" i="18"/>
  <c r="F94" i="18"/>
  <c r="D94" i="18"/>
  <c r="F93" i="18"/>
  <c r="D93" i="18"/>
  <c r="F92" i="18"/>
  <c r="D92" i="18"/>
  <c r="F91" i="18"/>
  <c r="D91" i="18"/>
  <c r="F90" i="18"/>
  <c r="D90" i="18"/>
  <c r="F89" i="18"/>
  <c r="D89" i="18"/>
  <c r="F88" i="18"/>
  <c r="D88" i="18"/>
  <c r="F87" i="18"/>
  <c r="D87" i="18"/>
  <c r="F86" i="18"/>
  <c r="D86" i="18"/>
  <c r="F85" i="18"/>
  <c r="D85" i="18"/>
  <c r="F84" i="18"/>
  <c r="D84" i="18"/>
  <c r="F83" i="18"/>
  <c r="D83" i="18"/>
  <c r="F82" i="18"/>
  <c r="D82" i="18"/>
  <c r="F81" i="18"/>
  <c r="D81" i="18"/>
  <c r="F80" i="18"/>
  <c r="D80" i="18"/>
  <c r="F79" i="18"/>
  <c r="D79" i="18"/>
  <c r="F78" i="18"/>
  <c r="D78" i="18"/>
  <c r="F77" i="18"/>
  <c r="D77" i="18"/>
  <c r="F76" i="18"/>
  <c r="D76" i="18"/>
  <c r="F75" i="18"/>
  <c r="D75" i="18"/>
  <c r="F74" i="18"/>
  <c r="D74" i="18"/>
  <c r="F73" i="18"/>
  <c r="D73" i="18"/>
  <c r="F72" i="18"/>
  <c r="D72" i="18"/>
  <c r="F71" i="18"/>
  <c r="D71" i="18"/>
  <c r="F70" i="18"/>
  <c r="D70" i="18"/>
  <c r="F69" i="18"/>
  <c r="D69" i="18"/>
  <c r="F68" i="18"/>
  <c r="D68" i="18"/>
  <c r="F67" i="18"/>
  <c r="D67" i="18"/>
  <c r="F66" i="18"/>
  <c r="D66" i="18"/>
  <c r="F65" i="18"/>
  <c r="D65" i="18"/>
  <c r="F64" i="18"/>
  <c r="D64" i="18"/>
  <c r="F63" i="18"/>
  <c r="D63" i="18"/>
  <c r="F62" i="18"/>
  <c r="D62" i="18"/>
  <c r="F61" i="18"/>
  <c r="D61" i="18"/>
  <c r="F60" i="18"/>
  <c r="D60" i="18"/>
  <c r="F59" i="18"/>
  <c r="D59" i="18"/>
  <c r="F58" i="18"/>
  <c r="D58" i="18"/>
  <c r="F57" i="18"/>
  <c r="D57" i="18"/>
  <c r="F56" i="18"/>
  <c r="D56" i="18"/>
  <c r="F55" i="18"/>
  <c r="D55" i="18"/>
  <c r="F54" i="18"/>
  <c r="D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3" i="18"/>
  <c r="F12" i="18"/>
  <c r="F11" i="18"/>
  <c r="F10" i="18"/>
  <c r="F9" i="18"/>
  <c r="F8" i="18"/>
  <c r="F7" i="18"/>
  <c r="F6" i="18"/>
  <c r="F5" i="18"/>
  <c r="F4" i="18"/>
  <c r="F3" i="18"/>
  <c r="B3" i="18"/>
  <c r="B4" i="18" s="1"/>
  <c r="B5" i="18" s="1"/>
  <c r="B6" i="18" s="1"/>
  <c r="B7" i="18" s="1"/>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F2" i="18"/>
  <c r="F15" i="19" l="1"/>
  <c r="F19" i="19" s="1"/>
  <c r="F29" i="19"/>
  <c r="F33" i="19" s="1"/>
  <c r="G7" i="19"/>
  <c r="H6" i="19"/>
  <c r="H5" i="19"/>
  <c r="E29" i="12"/>
  <c r="F30" i="12" s="1"/>
  <c r="F35" i="12" s="1"/>
  <c r="E33" i="12"/>
  <c r="C30" i="12"/>
  <c r="C35" i="12" s="1"/>
  <c r="E30" i="12"/>
  <c r="E35" i="12" s="1"/>
  <c r="D32" i="12"/>
  <c r="G13" i="19" l="1"/>
  <c r="G15" i="19" s="1"/>
  <c r="G19" i="19" s="1"/>
  <c r="G27" i="19"/>
  <c r="H7" i="19"/>
  <c r="E32" i="12"/>
  <c r="F29" i="12"/>
  <c r="F33" i="12"/>
  <c r="H13" i="19" l="1"/>
  <c r="H15" i="19" s="1"/>
  <c r="H19" i="19" s="1"/>
  <c r="H27" i="19"/>
  <c r="H29" i="19" s="1"/>
  <c r="H33" i="19" s="1"/>
  <c r="G29" i="19"/>
  <c r="G33" i="19" s="1"/>
  <c r="G29" i="12"/>
  <c r="G32" i="12" s="1"/>
  <c r="G33" i="12"/>
  <c r="G30" i="12"/>
  <c r="G35" i="12" s="1"/>
  <c r="F32" i="12"/>
  <c r="I23" i="13" l="1"/>
  <c r="G23" i="13"/>
  <c r="C5" i="11" l="1"/>
  <c r="D59" i="7" l="1"/>
  <c r="D58" i="7"/>
  <c r="D57" i="7"/>
  <c r="B9" i="11"/>
  <c r="B13" i="11" l="1"/>
  <c r="C9" i="11"/>
  <c r="D9" i="13" l="1"/>
  <c r="C13" i="11"/>
  <c r="C9" i="13" l="1"/>
  <c r="G9" i="13" s="1"/>
  <c r="E9" i="13"/>
  <c r="H9" i="13"/>
  <c r="I9" i="13" l="1"/>
  <c r="B96" i="10"/>
  <c r="B87" i="10"/>
  <c r="B69" i="10"/>
  <c r="B37" i="10"/>
  <c r="B71" i="10" s="1"/>
  <c r="B89" i="10" s="1"/>
  <c r="B98" i="10" s="1"/>
  <c r="B100" i="10" s="1"/>
  <c r="E22" i="8"/>
  <c r="E26" i="7"/>
  <c r="H27" i="8"/>
  <c r="G27" i="8"/>
  <c r="H26" i="8"/>
  <c r="G26" i="8"/>
  <c r="E42" i="8"/>
  <c r="D42" i="8"/>
  <c r="C42" i="8"/>
  <c r="H55" i="8" l="1"/>
  <c r="H46" i="8"/>
  <c r="G46" i="8"/>
  <c r="H30" i="8"/>
  <c r="G30" i="8"/>
  <c r="G29" i="8"/>
  <c r="H28" i="8"/>
  <c r="G28" i="8"/>
  <c r="D22" i="8"/>
  <c r="C22" i="8"/>
  <c r="H8" i="8"/>
  <c r="G8" i="8"/>
  <c r="E66" i="7"/>
  <c r="E65" i="7"/>
  <c r="E64" i="7"/>
  <c r="E62" i="7"/>
  <c r="E61" i="7"/>
  <c r="E59" i="7"/>
  <c r="E58" i="7"/>
  <c r="E57" i="7"/>
  <c r="C59" i="7"/>
  <c r="C58" i="7"/>
  <c r="H41" i="7"/>
  <c r="G41" i="7"/>
  <c r="H40" i="7"/>
  <c r="H39" i="7"/>
  <c r="G39" i="7"/>
  <c r="H38" i="7"/>
  <c r="G38" i="7"/>
  <c r="H37" i="7"/>
  <c r="G37" i="7"/>
  <c r="H36" i="7"/>
  <c r="G36" i="7"/>
  <c r="H35" i="7"/>
  <c r="G35" i="7"/>
  <c r="H23" i="7"/>
  <c r="G23" i="7"/>
  <c r="H22" i="7"/>
  <c r="G22" i="7"/>
  <c r="H21" i="7"/>
  <c r="G21" i="7"/>
  <c r="H19" i="7"/>
  <c r="G19" i="7"/>
  <c r="H18" i="7"/>
  <c r="G18" i="7"/>
  <c r="H17" i="7"/>
  <c r="G17" i="7"/>
  <c r="H20" i="7"/>
  <c r="G40" i="7"/>
  <c r="G34" i="7"/>
  <c r="H33" i="7"/>
  <c r="G30" i="7"/>
  <c r="D46" i="7"/>
  <c r="H30" i="7"/>
  <c r="H50" i="7"/>
  <c r="G50" i="7"/>
  <c r="H34" i="7"/>
  <c r="H32" i="7"/>
  <c r="G32" i="7"/>
  <c r="H31" i="7"/>
  <c r="G31" i="7"/>
  <c r="H16" i="7"/>
  <c r="G16" i="7"/>
  <c r="B119" i="1"/>
  <c r="G66" i="7" l="1"/>
  <c r="G61" i="7"/>
  <c r="G42" i="8"/>
  <c r="G63" i="7"/>
  <c r="H58" i="7"/>
  <c r="G58" i="7"/>
  <c r="H67" i="7"/>
  <c r="G64" i="7"/>
  <c r="G65" i="7"/>
  <c r="G59" i="7"/>
  <c r="G62" i="7"/>
  <c r="H62" i="7"/>
  <c r="H66" i="7"/>
  <c r="D48" i="7"/>
  <c r="D52" i="7" s="1"/>
  <c r="H65" i="7"/>
  <c r="H61" i="7"/>
  <c r="G67" i="7"/>
  <c r="H64" i="7"/>
  <c r="H59" i="7"/>
  <c r="E63" i="7"/>
  <c r="H63" i="7" s="1"/>
  <c r="H29" i="8"/>
  <c r="H42" i="8" s="1"/>
  <c r="G53" i="8"/>
  <c r="H56" i="8"/>
  <c r="G22" i="8"/>
  <c r="H54" i="8"/>
  <c r="H22" i="8"/>
  <c r="D44" i="8"/>
  <c r="D48" i="8" s="1"/>
  <c r="E44" i="8"/>
  <c r="E48" i="8" s="1"/>
  <c r="G56" i="8"/>
  <c r="C60" i="8"/>
  <c r="G55" i="8"/>
  <c r="H53" i="8"/>
  <c r="C44" i="8"/>
  <c r="C48" i="8" s="1"/>
  <c r="D60" i="8"/>
  <c r="H57" i="8"/>
  <c r="E60" i="8"/>
  <c r="G57" i="8"/>
  <c r="G54" i="8"/>
  <c r="C57" i="7"/>
  <c r="G57" i="7" s="1"/>
  <c r="G20" i="7"/>
  <c r="H8" i="7"/>
  <c r="G8" i="7"/>
  <c r="G26" i="7" s="1"/>
  <c r="E46" i="7"/>
  <c r="H46" i="7"/>
  <c r="C46" i="7"/>
  <c r="G33" i="7"/>
  <c r="G46" i="7" s="1"/>
  <c r="E44" i="27" l="1"/>
  <c r="F44" i="27" s="1"/>
  <c r="G44" i="27" s="1"/>
  <c r="E41" i="27"/>
  <c r="F41" i="27" s="1"/>
  <c r="G41" i="27" s="1"/>
  <c r="E40" i="27"/>
  <c r="D28" i="13"/>
  <c r="E28" i="13" s="1"/>
  <c r="I28" i="13" s="1"/>
  <c r="D26" i="13"/>
  <c r="C26" i="13" s="1"/>
  <c r="G26" i="13" s="1"/>
  <c r="D23" i="13"/>
  <c r="H23" i="13" s="1"/>
  <c r="G60" i="8"/>
  <c r="G48" i="7"/>
  <c r="G52" i="7" s="1"/>
  <c r="E73" i="7"/>
  <c r="E48" i="7"/>
  <c r="E52" i="7" s="1"/>
  <c r="D73" i="7"/>
  <c r="D75" i="7" s="1"/>
  <c r="H57" i="7"/>
  <c r="H73" i="7" s="1"/>
  <c r="G44" i="8"/>
  <c r="G48" i="8" s="1"/>
  <c r="H44" i="8"/>
  <c r="H48" i="8" s="1"/>
  <c r="C62" i="8"/>
  <c r="E62" i="8"/>
  <c r="H60" i="8"/>
  <c r="D62" i="8"/>
  <c r="C48" i="7"/>
  <c r="C52" i="7" s="1"/>
  <c r="H48" i="7"/>
  <c r="H52" i="7" s="1"/>
  <c r="C73" i="7"/>
  <c r="E26" i="13" l="1"/>
  <c r="I26" i="13" s="1"/>
  <c r="C28" i="13"/>
  <c r="G28" i="13" s="1"/>
  <c r="E43" i="27"/>
  <c r="F43" i="27" s="1"/>
  <c r="G43" i="27" s="1"/>
  <c r="H26" i="13"/>
  <c r="E42" i="27"/>
  <c r="F42" i="27" s="1"/>
  <c r="G42" i="27" s="1"/>
  <c r="E45" i="27"/>
  <c r="F45" i="27" s="1"/>
  <c r="G45" i="27" s="1"/>
  <c r="F40" i="27"/>
  <c r="D25" i="13"/>
  <c r="H25" i="13" s="1"/>
  <c r="H28" i="13"/>
  <c r="D24" i="13"/>
  <c r="C24" i="13" s="1"/>
  <c r="D27" i="13"/>
  <c r="E75" i="7"/>
  <c r="G62" i="8"/>
  <c r="H62" i="8"/>
  <c r="C75" i="7"/>
  <c r="G73" i="7"/>
  <c r="G75" i="7" s="1"/>
  <c r="H75" i="7"/>
  <c r="B22" i="11" l="1"/>
  <c r="E25" i="13"/>
  <c r="I25" i="13" s="1"/>
  <c r="C25" i="13"/>
  <c r="G25" i="13" s="1"/>
  <c r="D30" i="13"/>
  <c r="D36" i="13" s="1"/>
  <c r="E49" i="27"/>
  <c r="E56" i="27" s="1"/>
  <c r="F54" i="27" s="1"/>
  <c r="G40" i="27"/>
  <c r="G49" i="27" s="1"/>
  <c r="F49" i="27"/>
  <c r="E24" i="13"/>
  <c r="I24" i="13" s="1"/>
  <c r="H24" i="13"/>
  <c r="C27" i="13"/>
  <c r="G27" i="13" s="1"/>
  <c r="E27" i="13"/>
  <c r="I27" i="13" s="1"/>
  <c r="H27" i="13"/>
  <c r="G24" i="13"/>
  <c r="B15" i="11"/>
  <c r="B20" i="11" s="1"/>
  <c r="B136" i="1"/>
  <c r="B124" i="1"/>
  <c r="B101" i="1"/>
  <c r="B50" i="1"/>
  <c r="B27" i="11" l="1"/>
  <c r="C27" i="11" s="1"/>
  <c r="F56" i="27"/>
  <c r="G54" i="27" s="1"/>
  <c r="G56" i="27" s="1"/>
  <c r="C30" i="13"/>
  <c r="C36" i="13" s="1"/>
  <c r="I30" i="13"/>
  <c r="I36" i="13" s="1"/>
  <c r="G30" i="13"/>
  <c r="G36" i="13" s="1"/>
  <c r="E30" i="13"/>
  <c r="E36" i="13" s="1"/>
  <c r="H30" i="13"/>
  <c r="H36" i="13" s="1"/>
  <c r="D11" i="13"/>
  <c r="D17" i="13" s="1"/>
  <c r="B103" i="1"/>
  <c r="B126" i="1" s="1"/>
  <c r="B138" i="1" s="1"/>
  <c r="B140" i="1" s="1"/>
  <c r="C20" i="11" l="1"/>
  <c r="E11" i="13"/>
  <c r="E17" i="13" s="1"/>
  <c r="D19" i="13"/>
  <c r="D38" i="13" s="1"/>
  <c r="H11" i="13"/>
  <c r="C11" i="13"/>
  <c r="C17" i="13" s="1"/>
  <c r="H17" i="13" l="1"/>
  <c r="H19" i="13" s="1"/>
  <c r="H38" i="13" s="1"/>
  <c r="G11" i="13"/>
  <c r="C19" i="13"/>
  <c r="C38" i="13" s="1"/>
  <c r="E19" i="13"/>
  <c r="E38" i="13" s="1"/>
  <c r="I11" i="13"/>
  <c r="G17" i="13" l="1"/>
  <c r="G19" i="13" s="1"/>
  <c r="G38" i="13" s="1"/>
  <c r="I17" i="13"/>
  <c r="I19" i="13" s="1"/>
  <c r="I38" i="13" s="1"/>
</calcChain>
</file>

<file path=xl/sharedStrings.xml><?xml version="1.0" encoding="utf-8"?>
<sst xmlns="http://schemas.openxmlformats.org/spreadsheetml/2006/main" count="1430" uniqueCount="620">
  <si>
    <t>Profit and Loss</t>
  </si>
  <si>
    <t>English Chess Federation</t>
  </si>
  <si>
    <t>For the year ended 31 August 2023</t>
  </si>
  <si>
    <t>Account</t>
  </si>
  <si>
    <t>2023</t>
  </si>
  <si>
    <t>Turnover</t>
  </si>
  <si>
    <t>Azolve Rewards Scheme</t>
  </si>
  <si>
    <t>BCC -  Donations</t>
  </si>
  <si>
    <t>BCC - Entry Fees</t>
  </si>
  <si>
    <t>BCC Consessions</t>
  </si>
  <si>
    <t>Home - Cambridge International Open</t>
  </si>
  <si>
    <t>Home - English Seniors Championships</t>
  </si>
  <si>
    <t>Home - Online Blitz Grand Prix 22/23</t>
  </si>
  <si>
    <t>Home - Online Rapid Grand Prix 22/23</t>
  </si>
  <si>
    <t>Home - UK Open Blitz Championships</t>
  </si>
  <si>
    <t>Home Chess - Arbiters Training</t>
  </si>
  <si>
    <t>Home Chess - County Championships</t>
  </si>
  <si>
    <t>Home Chess - End Game Challenge</t>
  </si>
  <si>
    <t>Home Chess - Master Points</t>
  </si>
  <si>
    <t>Home Chess - Women's Chess</t>
  </si>
  <si>
    <t>Home -English Championships</t>
  </si>
  <si>
    <t>International - Donations</t>
  </si>
  <si>
    <t>International - European Senior Team Chess Champs</t>
  </si>
  <si>
    <t>Junior - Trips</t>
  </si>
  <si>
    <t>Junior Chess -  Clothing</t>
  </si>
  <si>
    <t>Junior Chess - Donations</t>
  </si>
  <si>
    <t>Junior Chess - ECF Academy</t>
  </si>
  <si>
    <t>Junior Chess - Glorney Income</t>
  </si>
  <si>
    <t>Junior Chess - National Schools</t>
  </si>
  <si>
    <t>Junior Chess - National Schools U11</t>
  </si>
  <si>
    <t>Junior Chess - Online County Championships</t>
  </si>
  <si>
    <t>Junior Chess - U19 Girls National Schools</t>
  </si>
  <si>
    <t>Junior Chess Bursary Fund</t>
  </si>
  <si>
    <t>Library Duplicate Sales</t>
  </si>
  <si>
    <t>Membership - All Categories</t>
  </si>
  <si>
    <t>Membership - FIDE Fees / - FIDE P2P ENG players</t>
  </si>
  <si>
    <t>Membership - FIDE Fees Titles</t>
  </si>
  <si>
    <t>Membership - FIDE Fees Transfers</t>
  </si>
  <si>
    <t>Membership - FIDE Game Fee / P2P - FIDE Foreign players</t>
  </si>
  <si>
    <t>Membership - Fide Tournament Entry Fees</t>
  </si>
  <si>
    <t>Membership - Game Fee - Flat Rate League/Club Game Fee (= Bronze)</t>
  </si>
  <si>
    <t>Membership - Game Fee - Flat Rate League/Club Game Fee (= Junior Bronze)</t>
  </si>
  <si>
    <t>Membership - Game Fee / P2P -  League and Club</t>
  </si>
  <si>
    <t>Membership - Game Fee / P2P - Congresses</t>
  </si>
  <si>
    <t>Membership - Game Fee / P2P - Congresses - Junior</t>
  </si>
  <si>
    <t>Membership - Game Fee / P2P - Reconciliation Account</t>
  </si>
  <si>
    <t>Membership - Non-territorial affiliates</t>
  </si>
  <si>
    <t>Womens - Event Income</t>
  </si>
  <si>
    <t>Total Turnover</t>
  </si>
  <si>
    <t>Cost of Sales</t>
  </si>
  <si>
    <t>Azolve Fees</t>
  </si>
  <si>
    <t>BCC -  Presentation and Commentery</t>
  </si>
  <si>
    <t>BCC - Appearance Fee/Acc/Travel cost</t>
  </si>
  <si>
    <t>BCC - Control team to include Accommodation</t>
  </si>
  <si>
    <t>BCC - Junior Coaching</t>
  </si>
  <si>
    <t>BCC - Printing &amp; Stationery</t>
  </si>
  <si>
    <t>BCC - Prizes</t>
  </si>
  <si>
    <t>BCC - Trophies Purchased and Maintenance</t>
  </si>
  <si>
    <t>BCC - Venue Hire</t>
  </si>
  <si>
    <t>BCC Other Costs</t>
  </si>
  <si>
    <t>BCC Publicity - Costs</t>
  </si>
  <si>
    <t>Go Cardless Fees</t>
  </si>
  <si>
    <t>Home  -  English Senior Championship Costs</t>
  </si>
  <si>
    <t>Home - Arbiters Training Course</t>
  </si>
  <si>
    <t>Home - Cambridge International Open -Cost</t>
  </si>
  <si>
    <t>Home - Chess in Prison Cost</t>
  </si>
  <si>
    <t>Home - County Championships Cost</t>
  </si>
  <si>
    <t>Home - English Championships Costs</t>
  </si>
  <si>
    <t>Home - Grand Prix  Cost</t>
  </si>
  <si>
    <t>Home - Hastings Congress</t>
  </si>
  <si>
    <t>Home  Online Blitz Grand Prix 22/23</t>
  </si>
  <si>
    <t>Home  Online Rapid Grand Prix 22/23</t>
  </si>
  <si>
    <t>Home - Other Costs</t>
  </si>
  <si>
    <t>Home - UK Open Blitz Championship</t>
  </si>
  <si>
    <t>International - ESTCC Costs</t>
  </si>
  <si>
    <t>International - European Individual Championships</t>
  </si>
  <si>
    <t>International - Olympiad Flights Accom</t>
  </si>
  <si>
    <t>International - Olympiad Sundry Costs</t>
  </si>
  <si>
    <t>International - Other Costs</t>
  </si>
  <si>
    <t>Junior - British Rapid &amp; Blitz Championships 13-14th Nov 21</t>
  </si>
  <si>
    <t>Junior - Glorney Cup- Costs</t>
  </si>
  <si>
    <t>Junior - U16 Olympiad</t>
  </si>
  <si>
    <t>Junior Chess -  National Schools Costs</t>
  </si>
  <si>
    <t>Junior Chess - EYCC - European Youth Chess Championships</t>
  </si>
  <si>
    <t>Junior Chess - Girls National Schools</t>
  </si>
  <si>
    <t>Junior Chess - World Cadets Rapid &amp; Blitz CC</t>
  </si>
  <si>
    <t>Junior Chess - World Schools</t>
  </si>
  <si>
    <t>Junior Chess - World Youth Costs</t>
  </si>
  <si>
    <t>Junior Chess Bursary Fund - Costs</t>
  </si>
  <si>
    <t>Junior Chess Cost</t>
  </si>
  <si>
    <t>Library Duplicate Sales Costs</t>
  </si>
  <si>
    <t>Membership -  Fide Tournament Entry Fees</t>
  </si>
  <si>
    <t>Membership - FIDE Fees Cost</t>
  </si>
  <si>
    <t>Membership - Grading Admin</t>
  </si>
  <si>
    <t>Paypal Fees</t>
  </si>
  <si>
    <t>Stripe Fees</t>
  </si>
  <si>
    <t>Womens - Event Costs</t>
  </si>
  <si>
    <t>Womens - Support for Events/Organisations</t>
  </si>
  <si>
    <t>Total Cost of Sales</t>
  </si>
  <si>
    <t>Gross Profit</t>
  </si>
  <si>
    <t>Administrative Costs</t>
  </si>
  <si>
    <t>Admin, Commercial, Marketing &amp; Publicity</t>
  </si>
  <si>
    <t>Administration - Audit fees</t>
  </si>
  <si>
    <t>Administration - Book Keeping</t>
  </si>
  <si>
    <t>Administration Cost</t>
  </si>
  <si>
    <t>Bank Charges</t>
  </si>
  <si>
    <t>Board and Council expenses</t>
  </si>
  <si>
    <t>Connor,  Wilson &amp; Clayton  - Office Admin</t>
  </si>
  <si>
    <t>Depreciation</t>
  </si>
  <si>
    <t>Insurance</t>
  </si>
  <si>
    <t>IT, Internet &amp; Website</t>
  </si>
  <si>
    <t>Office sundries</t>
  </si>
  <si>
    <t>Photocopying, Printing Stationery</t>
  </si>
  <si>
    <t>Postage</t>
  </si>
  <si>
    <t>Publicity</t>
  </si>
  <si>
    <t>Rent and Service Charge</t>
  </si>
  <si>
    <t>Salaries and NIC Office Staff and ER Pensions</t>
  </si>
  <si>
    <t>Telephone</t>
  </si>
  <si>
    <t>Yearbook Costs</t>
  </si>
  <si>
    <t>Total Administrative Costs</t>
  </si>
  <si>
    <t>Operating Profit</t>
  </si>
  <si>
    <t>Other Income</t>
  </si>
  <si>
    <t>Administration - donations</t>
  </si>
  <si>
    <t>Advertising income</t>
  </si>
  <si>
    <t>Certificates of Excellence - income</t>
  </si>
  <si>
    <t>Commercial Income</t>
  </si>
  <si>
    <t>DGT Clocks for Clubs - Sales</t>
  </si>
  <si>
    <t>Sundry income and roundings</t>
  </si>
  <si>
    <t>Yearbook Income</t>
  </si>
  <si>
    <t>Total Other Income</t>
  </si>
  <si>
    <t>Profit on Ordinary Activities Before Taxation</t>
  </si>
  <si>
    <t>Profit after Taxation</t>
  </si>
  <si>
    <t>membership</t>
  </si>
  <si>
    <t>home</t>
  </si>
  <si>
    <t>International</t>
  </si>
  <si>
    <t>Junior</t>
  </si>
  <si>
    <t>Admin</t>
  </si>
  <si>
    <t>Womens</t>
  </si>
  <si>
    <t>Membership</t>
  </si>
  <si>
    <t>Home</t>
  </si>
  <si>
    <t>IT</t>
  </si>
  <si>
    <t>Rent</t>
  </si>
  <si>
    <t>Yearbook</t>
  </si>
  <si>
    <t>Income</t>
  </si>
  <si>
    <t>Direct Costs</t>
  </si>
  <si>
    <t>Overheads</t>
  </si>
  <si>
    <t>Other income</t>
  </si>
  <si>
    <t>Profit before Tax</t>
  </si>
  <si>
    <t>Total</t>
  </si>
  <si>
    <t>Contingency</t>
  </si>
  <si>
    <t>Direct costs</t>
  </si>
  <si>
    <t>Total income</t>
  </si>
  <si>
    <t>Total direct costs</t>
  </si>
  <si>
    <t>Proft before tax</t>
  </si>
  <si>
    <t>Budget</t>
  </si>
  <si>
    <t>BCC Total income</t>
  </si>
  <si>
    <t>BCC - Total costs</t>
  </si>
  <si>
    <t>Reforecast</t>
  </si>
  <si>
    <t>Profitability by Area</t>
  </si>
  <si>
    <t>BCC</t>
  </si>
  <si>
    <t>Cambridge</t>
  </si>
  <si>
    <t>Seniors</t>
  </si>
  <si>
    <t>Online Blitz Grand Prix</t>
  </si>
  <si>
    <t>Online Rapid Grand Prix</t>
  </si>
  <si>
    <t>UK Blitz</t>
  </si>
  <si>
    <t>Arbiters</t>
  </si>
  <si>
    <t>County Championships</t>
  </si>
  <si>
    <t>English Championships</t>
  </si>
  <si>
    <t>Grand Prix</t>
  </si>
  <si>
    <t>Online Events</t>
  </si>
  <si>
    <t>Other</t>
  </si>
  <si>
    <t>Check</t>
  </si>
  <si>
    <t>Total profit</t>
  </si>
  <si>
    <t>Comments</t>
  </si>
  <si>
    <t>Olympiad - Total costs</t>
  </si>
  <si>
    <t>European Senior Teams Championship</t>
  </si>
  <si>
    <t>Olympiad</t>
  </si>
  <si>
    <t>European Senior Individual</t>
  </si>
  <si>
    <t>Other tournaments</t>
  </si>
  <si>
    <t>World senior teams</t>
  </si>
  <si>
    <t>FIDE</t>
  </si>
  <si>
    <t>Azolve and transaction costs</t>
  </si>
  <si>
    <t>Rewards</t>
  </si>
  <si>
    <t>Library duplicate sales</t>
  </si>
  <si>
    <t>Total overheads</t>
  </si>
  <si>
    <t>Total other income</t>
  </si>
  <si>
    <t>Interest</t>
  </si>
  <si>
    <t>People costs (exc book keeper)</t>
  </si>
  <si>
    <t>General office expenses</t>
  </si>
  <si>
    <t>Finance (audit, bank and book keeping)</t>
  </si>
  <si>
    <t>Misc</t>
  </si>
  <si>
    <t>U16 Olympiad</t>
  </si>
  <si>
    <t>World cadets - rapid and blitz</t>
  </si>
  <si>
    <t>World schools</t>
  </si>
  <si>
    <t>Other international</t>
  </si>
  <si>
    <t>Junior - Clothing</t>
  </si>
  <si>
    <t>Glorney</t>
  </si>
  <si>
    <t>National schools</t>
  </si>
  <si>
    <t>Clothing</t>
  </si>
  <si>
    <t>Donations</t>
  </si>
  <si>
    <t>Academy</t>
  </si>
  <si>
    <t xml:space="preserve">Other  </t>
  </si>
  <si>
    <t>Junior Chess - EYCC</t>
  </si>
  <si>
    <t xml:space="preserve">Notes: </t>
  </si>
  <si>
    <t>Discretionary reserve is total of admin and membership. Theoretically this creates a surplus to be spent by the operational directorates</t>
  </si>
  <si>
    <t>Budget check</t>
  </si>
  <si>
    <t>Womens - Event income</t>
  </si>
  <si>
    <t>Notes:</t>
  </si>
  <si>
    <t>Nominal codes don't match budget lines - some tidying up to do for future reporting periods</t>
  </si>
  <si>
    <t>The % refers to what proportion of the in year reserve was used by the directorate</t>
  </si>
  <si>
    <t>Budget includes £2500 sponsorship</t>
  </si>
  <si>
    <t>British Championships</t>
  </si>
  <si>
    <t>Individual bursaries</t>
  </si>
  <si>
    <t>International - European Teams</t>
  </si>
  <si>
    <t>European Teams</t>
  </si>
  <si>
    <t>For the 3 months ended 30 November 2023</t>
  </si>
  <si>
    <t>Sep-Nov 2023</t>
  </si>
  <si>
    <t>Home Chess - National Club Championships</t>
  </si>
  <si>
    <t>Seniors - World Seniors Team Chess Championships</t>
  </si>
  <si>
    <t>BOCC - Control Team to include Accommadation</t>
  </si>
  <si>
    <t>Home - National Chess Club Championships</t>
  </si>
  <si>
    <t>International - European Team Championship Costs</t>
  </si>
  <si>
    <t>International - European Teams Appearance  Fee</t>
  </si>
  <si>
    <t>International - European Teams Coaching</t>
  </si>
  <si>
    <t>International - European Teams Flight &amp; Accomodation</t>
  </si>
  <si>
    <t>Junior - World Cadets costs</t>
  </si>
  <si>
    <t>Seniors - World Seniors Teams Expenses</t>
  </si>
  <si>
    <t>Administration - Development Officer Salary/Bonus</t>
  </si>
  <si>
    <t>Recruitment Staff</t>
  </si>
  <si>
    <t>Office Other</t>
  </si>
  <si>
    <t>Looks sensible given current postings</t>
  </si>
  <si>
    <t>2024 actual spend</t>
  </si>
  <si>
    <t>2024 actual income less spend</t>
  </si>
  <si>
    <t>£500 sundry</t>
  </si>
  <si>
    <t>Discretionary - in addition to bursary fund</t>
  </si>
  <si>
    <t>Home - Club / Grass Roots Support</t>
  </si>
  <si>
    <t>BCC - Social Programme</t>
  </si>
  <si>
    <t>British Rapidplay</t>
  </si>
  <si>
    <t>National Clubs</t>
  </si>
  <si>
    <t>no budget remaining</t>
  </si>
  <si>
    <t>c fwf ye 2021</t>
  </si>
  <si>
    <t>Loss ye 2022</t>
  </si>
  <si>
    <t>C fwd ye 2022</t>
  </si>
  <si>
    <t>Unaudited loss ye 2023</t>
  </si>
  <si>
    <t>C fwd ye 2023</t>
  </si>
  <si>
    <t>Forecast c fwd ye 2024</t>
  </si>
  <si>
    <t>24 variance</t>
  </si>
  <si>
    <t>International - World Senior Teams</t>
  </si>
  <si>
    <t>2024 Reforecast</t>
  </si>
  <si>
    <t>2025 original forecast</t>
  </si>
  <si>
    <t>Reforecast variance</t>
  </si>
  <si>
    <t>Original variance</t>
  </si>
  <si>
    <t>Uncertainties</t>
  </si>
  <si>
    <t>Current membership revenue trend</t>
  </si>
  <si>
    <t>Impact of blended membership (dropouts, delaying payments)?</t>
  </si>
  <si>
    <t>Best Estimate</t>
  </si>
  <si>
    <t>High</t>
  </si>
  <si>
    <t>Low</t>
  </si>
  <si>
    <t>2025 Budget</t>
  </si>
  <si>
    <t>Budget profit / (loss) 2025</t>
  </si>
  <si>
    <t>Reserves c/fwd ye 2025</t>
  </si>
  <si>
    <t>Worst case - Support limited to 20k support from CT and JRYCT combined plus 5% increase in entry fees</t>
  </si>
  <si>
    <t>Inflation 5% entry revenue increase</t>
  </si>
  <si>
    <t>Inflation 5% entry revenue increase, assumes UA continued support</t>
  </si>
  <si>
    <t>Assumes venue costs as this year</t>
  </si>
  <si>
    <t>Membership - commercial income (affiliates)</t>
  </si>
  <si>
    <t>Commercial</t>
  </si>
  <si>
    <t>Department</t>
  </si>
  <si>
    <t>Event</t>
  </si>
  <si>
    <t>From</t>
  </si>
  <si>
    <t>To</t>
  </si>
  <si>
    <t>Year</t>
  </si>
  <si>
    <t>Location</t>
  </si>
  <si>
    <t>Notes</t>
  </si>
  <si>
    <t>English Seniors Championship</t>
  </si>
  <si>
    <t>Warwick</t>
  </si>
  <si>
    <t>World Senior Team Championships</t>
  </si>
  <si>
    <t>Italy</t>
  </si>
  <si>
    <t>every year</t>
  </si>
  <si>
    <t>NA</t>
  </si>
  <si>
    <t>World Youth Championship</t>
  </si>
  <si>
    <t>European Senior Team Chess Championships</t>
  </si>
  <si>
    <t>Dresden</t>
  </si>
  <si>
    <t>European Youth Championships</t>
  </si>
  <si>
    <t>World Individual Seniors Championship</t>
  </si>
  <si>
    <t>UK Open Blitz Championships</t>
  </si>
  <si>
    <t>Leamington Spa</t>
  </si>
  <si>
    <t>Final event only</t>
  </si>
  <si>
    <t>Online Grand Prix - Blitz</t>
  </si>
  <si>
    <t>Online</t>
  </si>
  <si>
    <t>straddles financial years</t>
  </si>
  <si>
    <t>Online Grand Prix - Rapid</t>
  </si>
  <si>
    <t>Cambridge International</t>
  </si>
  <si>
    <t>European Individual Championships</t>
  </si>
  <si>
    <t>Serbia</t>
  </si>
  <si>
    <t>Counties Championship</t>
  </si>
  <si>
    <t>from nominations to final</t>
  </si>
  <si>
    <t>World Schools</t>
  </si>
  <si>
    <t>Rhodes</t>
  </si>
  <si>
    <t>European Schools</t>
  </si>
  <si>
    <t>Albania</t>
  </si>
  <si>
    <t>European Individual Seniors Championship</t>
  </si>
  <si>
    <t>World Cadets Rapid and Blitz</t>
  </si>
  <si>
    <t>Georgia</t>
  </si>
  <si>
    <t>British Chess Championships</t>
  </si>
  <si>
    <t>Leicester</t>
  </si>
  <si>
    <t>Netherlands</t>
  </si>
  <si>
    <t>Stirling</t>
  </si>
  <si>
    <t>Romania</t>
  </si>
  <si>
    <t>Macedonia</t>
  </si>
  <si>
    <t>World Cadets</t>
  </si>
  <si>
    <t>Egypt</t>
  </si>
  <si>
    <t>National Club Championship</t>
  </si>
  <si>
    <t>Hull</t>
  </si>
  <si>
    <t>European Team Championship Costs</t>
  </si>
  <si>
    <t>Budva</t>
  </si>
  <si>
    <t>every 2 years</t>
  </si>
  <si>
    <t>Solovenia</t>
  </si>
  <si>
    <t>Budapest</t>
  </si>
  <si>
    <t>DCMS
£200k</t>
  </si>
  <si>
    <t>DCMS
£300k</t>
  </si>
  <si>
    <t>European Senior Teams</t>
  </si>
  <si>
    <t>Cambridge 2024</t>
  </si>
  <si>
    <t>English Championships 2024</t>
  </si>
  <si>
    <t>British Championships 2025</t>
  </si>
  <si>
    <t>British Championships 2024, World Senior Teams</t>
  </si>
  <si>
    <t>ECF / DCMS Timeline</t>
  </si>
  <si>
    <t>Reforecast profit 23/24</t>
  </si>
  <si>
    <t>Budget 2025</t>
  </si>
  <si>
    <t>Core Profit</t>
  </si>
  <si>
    <t>Profit after DCMS</t>
  </si>
  <si>
    <t>reserves c/fwd 2025</t>
  </si>
  <si>
    <t>Without DCMS</t>
  </si>
  <si>
    <t>With DCMS</t>
  </si>
  <si>
    <t>Reforecast 2024</t>
  </si>
  <si>
    <t>ECF
2024</t>
  </si>
  <si>
    <t>ECF
2025</t>
  </si>
  <si>
    <t>Finance council</t>
  </si>
  <si>
    <t>2024 &amp; 2025 Scenarios</t>
  </si>
  <si>
    <t>reserves c/fwd 2024</t>
  </si>
  <si>
    <t>reserves b/fwd y/e 2023</t>
  </si>
  <si>
    <t>Assumes for now no 'grassroots' expenditure and carrying forward some gains from DCMS (essentially the core international spend)</t>
  </si>
  <si>
    <t>Reserves Reconciliation</t>
  </si>
  <si>
    <t>Paid member numbers peaked at 14,159 in August 23 - income run rate = £267k. Currently at 13620 (13/2/24)</t>
  </si>
  <si>
    <t>"cash receipts" ye 2023 = £255k, equivalent to approx 13500 members</t>
  </si>
  <si>
    <t>Reforecast for 2024 is £255k which is obviously quite prudent</t>
  </si>
  <si>
    <t>DCMS income - tax ye 2025</t>
  </si>
  <si>
    <t>International DCMS spend - tax y/e 2025</t>
  </si>
  <si>
    <t>Other DCMS investment expenditure - tax y/e 2025</t>
  </si>
  <si>
    <t>DCMS Income</t>
  </si>
  <si>
    <t>DCMS Expenditure</t>
  </si>
  <si>
    <t>Grassroots</t>
  </si>
  <si>
    <t>Week</t>
  </si>
  <si>
    <t>Week ending</t>
  </si>
  <si>
    <t>Paid members</t>
  </si>
  <si>
    <t>yoy growth</t>
  </si>
  <si>
    <t>Annualised revenue</t>
  </si>
  <si>
    <t>Av income</t>
  </si>
  <si>
    <t>Cash receipts</t>
  </si>
  <si>
    <t>Actual rolling revenue (previous 365 days) - Xero</t>
  </si>
  <si>
    <t>local peak - so would expect 365 rolling revenue to reach this level around Sep 23</t>
  </si>
  <si>
    <t>actual rolling revenue leaped ahead of annualised after a huge spike of payments - why?</t>
  </si>
  <si>
    <t>annualised income hits £250k for first time in june 2023. Annualised revenue at this volume shouldn't happen until around June 24 but we reached it already in Sep 23?</t>
  </si>
  <si>
    <t>local peak of £267k</t>
  </si>
  <si>
    <t>400 shy of the previous peak in August 23</t>
  </si>
  <si>
    <t>ye 2022</t>
  </si>
  <si>
    <t>ye 2023</t>
  </si>
  <si>
    <t>ye 2024</t>
  </si>
  <si>
    <t>f/c</t>
  </si>
  <si>
    <t>ye 2025</t>
  </si>
  <si>
    <t>peak paid members</t>
  </si>
  <si>
    <t>cash net revenue</t>
  </si>
  <si>
    <t>accounting revenue + 1yr</t>
  </si>
  <si>
    <t xml:space="preserve">The following is rough workings </t>
  </si>
  <si>
    <t>Actual / forecast accounting revenue</t>
  </si>
  <si>
    <t>av rev - pre discount</t>
  </si>
  <si>
    <t>av rev - post discount 5%</t>
  </si>
  <si>
    <t>av revenue post July 24 increase</t>
  </si>
  <si>
    <t>Assuming a significant slowdown - of course continued 10-20% growth would transform our position</t>
  </si>
  <si>
    <t>Scenario if membership keeps growing at 15%</t>
  </si>
  <si>
    <t>So 2025 budget assumes we reach peak member numbers in 2024 of 14,500 and we increase prices by an effective 7% in July 2024</t>
  </si>
  <si>
    <t>Acc rev per peak paid member</t>
  </si>
  <si>
    <t>Variance</t>
  </si>
  <si>
    <t>Between current and planned price as only some of impact will be felt in 2025 with full impact in 2026</t>
  </si>
  <si>
    <t>Current budget for 2025 is £275k (includes +10k price increase) - equivalent to 14867 members. This represents 5% uplift on 2024 numbers</t>
  </si>
  <si>
    <t>ye 2021</t>
  </si>
  <si>
    <t>ye 2026</t>
  </si>
  <si>
    <t>ye 2027</t>
  </si>
  <si>
    <t>Paid members b/fwd</t>
  </si>
  <si>
    <t>Paid members c/fwd</t>
  </si>
  <si>
    <t>yoy member growth</t>
  </si>
  <si>
    <t>Average revenue per paid member</t>
  </si>
  <si>
    <t>Note this is adjusted for discrepancies</t>
  </si>
  <si>
    <t>Average for the year</t>
  </si>
  <si>
    <t>Accounting revenue (50% current year, 50% previous)</t>
  </si>
  <si>
    <t>Actual / forecast revenue reported</t>
  </si>
  <si>
    <t>Junior Silver (paid)</t>
  </si>
  <si>
    <t>Junior Gold</t>
  </si>
  <si>
    <t>Junior Platinum</t>
  </si>
  <si>
    <t>Total Junior</t>
  </si>
  <si>
    <t>Bronze</t>
  </si>
  <si>
    <t>Silver</t>
  </si>
  <si>
    <t>Gold</t>
  </si>
  <si>
    <t>Platinum</t>
  </si>
  <si>
    <t>Student Silver</t>
  </si>
  <si>
    <t xml:space="preserve">Supporter </t>
  </si>
  <si>
    <t>Total Adult</t>
  </si>
  <si>
    <t>Grand Total</t>
  </si>
  <si>
    <t>Current price</t>
  </si>
  <si>
    <t>Proposed price</t>
  </si>
  <si>
    <t>Current net revenue</t>
  </si>
  <si>
    <t>Proposed net revenue</t>
  </si>
  <si>
    <t>roughly 8% uplift in revenue assuming zero attrition</t>
  </si>
  <si>
    <t>Variance: calcs to actuals</t>
  </si>
  <si>
    <t>Notes: price increase in July 2024 accounts for approx £10k increase in revenue for 2025 and £20k in 2026 and beyond</t>
  </si>
  <si>
    <t>Paid members as at 17/02/24</t>
  </si>
  <si>
    <t>% Increase</t>
  </si>
  <si>
    <t>Membership revenue workings</t>
  </si>
  <si>
    <t>DCMS income - tax ye 2024</t>
  </si>
  <si>
    <t>International DCMS spend - tax y/e 2024</t>
  </si>
  <si>
    <t>Other DCMS investment expenditure - tax y/e 2024</t>
  </si>
  <si>
    <t>Buffer to target of £50k reserves</t>
  </si>
  <si>
    <t>Reforecast core loss ye 2024</t>
  </si>
  <si>
    <t>DCMS income tax y/e 2024</t>
  </si>
  <si>
    <t>DCMS expenditure tax y/e 2024</t>
  </si>
  <si>
    <t>DCMS income tax y/e 2025</t>
  </si>
  <si>
    <t>DCMS expenditure tax y/e 2025</t>
  </si>
  <si>
    <t>2026 Forecast</t>
  </si>
  <si>
    <t>2027 Forecast</t>
  </si>
  <si>
    <t>2023 Unaudited</t>
  </si>
  <si>
    <t>2022 Actuals</t>
  </si>
  <si>
    <t>Membership - subscription revenue</t>
  </si>
  <si>
    <t>Membership - other</t>
  </si>
  <si>
    <t>After price increase July 2024</t>
  </si>
  <si>
    <t>Notes: price increase in July 2024 accounts for approx £10k increase in revenue for 2025 and £24k in 2026 and beyond</t>
  </si>
  <si>
    <t>This differs to cash receipts due to deferred income treatment</t>
  </si>
  <si>
    <t>As per accounts, budget or forecasts</t>
  </si>
  <si>
    <t>Not an exact science! But close enough to show model is a decent approximation</t>
  </si>
  <si>
    <t>Price increase from July 2024</t>
  </si>
  <si>
    <t>Core profitability</t>
  </si>
  <si>
    <t>Reserves b/fwd</t>
  </si>
  <si>
    <t>Reserves c/fwd</t>
  </si>
  <si>
    <t>3 Year Forecast with Historic Comparisons</t>
  </si>
  <si>
    <t>In 2026 and 2027 forecasting 5% cost inflation across all directorates</t>
  </si>
  <si>
    <t>Strategic Initiatives</t>
  </si>
  <si>
    <t>30% uplift</t>
  </si>
  <si>
    <t>Blended adult s/g</t>
  </si>
  <si>
    <t>Blended junior s/g</t>
  </si>
  <si>
    <t>Proposed price (1)</t>
  </si>
  <si>
    <t>Proposed price (2)</t>
  </si>
  <si>
    <t>Proposed price (3)</t>
  </si>
  <si>
    <t>Proposed net revenue (1)</t>
  </si>
  <si>
    <t>Proposed net revenue (2)</t>
  </si>
  <si>
    <t>Proposed net revenue (3)</t>
  </si>
  <si>
    <t>% Increase (1)</t>
  </si>
  <si>
    <t>% Increase (2)</t>
  </si>
  <si>
    <t>% Increase (3)</t>
  </si>
  <si>
    <t>Version 1</t>
  </si>
  <si>
    <t>Version 2</t>
  </si>
  <si>
    <t>Linked the P+L directly to the membership assumptions tables to enable quicker analysis and scenario comparisons</t>
  </si>
  <si>
    <t xml:space="preserve"> </t>
  </si>
  <si>
    <t>Price increase</t>
  </si>
  <si>
    <t>Silver junior</t>
  </si>
  <si>
    <t>Combined s/g</t>
  </si>
  <si>
    <t>Gold junior</t>
  </si>
  <si>
    <t>Platinum junior</t>
  </si>
  <si>
    <t>Average net price</t>
  </si>
  <si>
    <t>Supporter</t>
  </si>
  <si>
    <t>Option 1</t>
  </si>
  <si>
    <t>Freeze prices for 2024/25</t>
  </si>
  <si>
    <t>Membership rates</t>
  </si>
  <si>
    <t>Increased interest from £1000 to £2000</t>
  </si>
  <si>
    <t>Option 2</t>
  </si>
  <si>
    <t>Immediate 5% increase for 2024/25</t>
  </si>
  <si>
    <t>Another 5% increase for 2025/26</t>
  </si>
  <si>
    <t>£6k contribution from DCMS 'strategic initiatives' to fund shortfall for 2024/25</t>
  </si>
  <si>
    <t>Option 3</t>
  </si>
  <si>
    <t>Immediate 10% increase for 2024/25</t>
  </si>
  <si>
    <t>Can spend full DCMS allocation for strategic initiatives</t>
  </si>
  <si>
    <t>£20k surplus created over the 3 year period</t>
  </si>
  <si>
    <t>10% increase for 2025/26</t>
  </si>
  <si>
    <t>£15k contribution from DCMS 'strategic initiatives' to fund shortfall</t>
  </si>
  <si>
    <t>Updated pricing assumptions. Frozen rates for 24/25 and then increased by 10% from 25/26</t>
  </si>
  <si>
    <t>Sent to the board and to Finance Committee late April</t>
  </si>
  <si>
    <t>£13k surplus created over the 3 year period</t>
  </si>
  <si>
    <t>£8k surplus created over the 3 year period</t>
  </si>
  <si>
    <t>24/25 price</t>
  </si>
  <si>
    <t>25/26 price</t>
  </si>
  <si>
    <t>DCMS impact</t>
  </si>
  <si>
    <t>Surplus</t>
  </si>
  <si>
    <t>Combined s/g junior</t>
  </si>
  <si>
    <t>Combined s/g adult</t>
  </si>
  <si>
    <t>2024/25 rates</t>
  </si>
  <si>
    <t>2025/26 rates</t>
  </si>
  <si>
    <t>Version 1 Budget</t>
  </si>
  <si>
    <t>Immediate 8% increase</t>
  </si>
  <si>
    <t>£7k surplus created over the 3 year period</t>
  </si>
  <si>
    <t>Flat increases across the range of memberships</t>
  </si>
  <si>
    <t>Delays decision to increase - may not need</t>
  </si>
  <si>
    <t>2 increases in 2 years</t>
  </si>
  <si>
    <t>Biggest change</t>
  </si>
  <si>
    <t>Uneven increases across memberships</t>
  </si>
  <si>
    <t>Membership Rate Options</t>
  </si>
  <si>
    <t>Reduced 25/26 and 26/27 inflation from 5% to 3%</t>
  </si>
  <si>
    <t>AH 8/3/24</t>
  </si>
  <si>
    <t>The Online Youth County Championships were in January 2024, and the entries came in in the back end of 2023 and early 2024.</t>
  </si>
  <si>
    <t>Every single one of the trips should come out, because they are money-in, money-out; or at least just one line of trip money in/out for all of them combined to cover off any miscollection (either way).</t>
  </si>
  <si>
    <t>The National Schools should be one consolidated line.</t>
  </si>
  <si>
    <t>Version 3</t>
  </si>
  <si>
    <t>Sent to Nigel and Mike to review 3 pricing options</t>
  </si>
  <si>
    <t>Changed price increase from 10% to 8% but brought forward one year</t>
  </si>
  <si>
    <t>reduced growth in 2025 from 4% to 2%</t>
  </si>
  <si>
    <t>Price change</t>
  </si>
  <si>
    <t>£2 increase across all membership rates</t>
  </si>
  <si>
    <t>Approx 8% increase</t>
  </si>
  <si>
    <t>Full DCMS strategic investment fund invested</t>
  </si>
  <si>
    <t>Adjusted opening reserves after tiny audit adjustments</t>
  </si>
  <si>
    <t>In 2026 and 2027 forecasting 2% cost inflation across all directorates</t>
  </si>
  <si>
    <t>Additional international/home/womens spend</t>
  </si>
  <si>
    <t>Strategic initiatives</t>
  </si>
  <si>
    <t>Reduced inflation to 2%</t>
  </si>
  <si>
    <t>Added additional £15k strategic initiative spend for 26 and 27</t>
  </si>
  <si>
    <t>Adjusted home budget by removing grand prix costs and profit from online events - overall cost the same</t>
  </si>
  <si>
    <t>Hi Alex,</t>
  </si>
  <si>
    <t>Im happy with the membership options outcome as relayed by Mike this afternoon.</t>
  </si>
  <si>
    <t>Apologies for the delay in getting back on the FD report and spreadsheet.</t>
  </si>
  <si>
    <t>Ive marked up the FD report with a few comments/ potential changes attached which may help with Council</t>
  </si>
  <si>
    <t>Some comments on the spreadsheets home tab as below. Should we do a quick call to discuss at some point this week?</t>
  </si>
  <si>
    <t>It feels like there is enough here to need some changes - particularly for the 2025 forecasts, although some of these may have been picked up already.</t>
  </si>
  <si>
    <t>Regards</t>
  </si>
  <si>
    <t>Nigel</t>
  </si>
  <si>
    <t>--</t>
  </si>
  <si>
    <r>
      <t>2022/2023</t>
    </r>
    <r>
      <rPr>
        <b/>
        <sz val="12"/>
        <color rgb="FF222222"/>
        <rFont val="Arial"/>
        <family val="2"/>
      </rPr>
      <t> - Home tab Row 77</t>
    </r>
  </si>
  <si>
    <t>Various tournament support</t>
  </si>
  <si>
    <t>What are the other tournaments and shall we split the British Rapidplay out as this may be 2 or 3k worth for 2023?</t>
  </si>
  <si>
    <r>
      <t>2024/2025</t>
    </r>
    <r>
      <rPr>
        <b/>
        <sz val="12"/>
        <color rgb="FF222222"/>
        <rFont val="Arial"/>
        <family val="2"/>
      </rPr>
      <t> - Home tab (Comments on 24 and 25)</t>
    </r>
  </si>
  <si>
    <t>British Income - This seems to omit the 2k support from the Women's budget. I am not clear how these interdirectorate support transfers are being handled if at all.</t>
  </si>
  <si>
    <r>
      <t>British Expenditure</t>
    </r>
    <r>
      <rPr>
        <sz val="12"/>
        <color rgb="FF222222"/>
        <rFont val="Arial"/>
        <family val="2"/>
      </rPr>
      <t> - Not clear why base expenditure will drop by 14k in 2025 compared with 2024? (104,850 -&gt; 90,000)</t>
    </r>
  </si>
  <si>
    <t>Can we include a small working budget of 2k for accessible chess spend separate from the 10k from DCMS in both 2024 and 2025?</t>
  </si>
  <si>
    <t>Also could the line items please be the same for income, expenditure and profitability and in the same order?</t>
  </si>
  <si>
    <t>The grass roots line probably needs changing to Grass Roots Support (eg Club, Events, etc)</t>
  </si>
  <si>
    <t> -</t>
  </si>
  <si>
    <t>Grand Prix Row 82 - Not clear we will run this as part of the baseline budget so I would remove or zero out the various line items.</t>
  </si>
  <si>
    <t>Online Events Row 83  - I dont think we should be forecasting a profit from online events and maybe best to show nominal income and expenditure at the same level.</t>
  </si>
  <si>
    <r>
      <t>Row 86 - Other</t>
    </r>
    <r>
      <rPr>
        <sz val="12"/>
        <color rgb="FF222222"/>
        <rFont val="Arial"/>
        <family val="2"/>
      </rPr>
      <t> - Not sure how this is made up. Can we list some of the areas that come into this category - eg including: Accessible Chess, Chess in Prisons, .... etc.</t>
    </r>
  </si>
  <si>
    <t>2025 Profitability compared with 2024</t>
  </si>
  <si>
    <t>Again not clear where the baseline savings / increased income will come from for the various events which are forecast to save around 10k in 2025. Also can we add National Clubs in to 2025 as it seems to have gone missing.</t>
  </si>
  <si>
    <t>Sundry income</t>
  </si>
  <si>
    <t>Tidied up junior section</t>
  </si>
  <si>
    <t>2025 Budget Summary</t>
  </si>
  <si>
    <t>Profit and loss</t>
  </si>
  <si>
    <t>"Discretionary Surplus"</t>
  </si>
  <si>
    <t xml:space="preserve">Discretionary Surplus </t>
  </si>
  <si>
    <t>Strategic grassroots initiatives</t>
  </si>
  <si>
    <t>Net profit</t>
  </si>
  <si>
    <t>DCMS</t>
  </si>
  <si>
    <t>"Discretionary Reserve"</t>
  </si>
  <si>
    <t>Non-core expenditure</t>
  </si>
  <si>
    <t>Strategic grassroots investment</t>
  </si>
  <si>
    <t xml:space="preserve">Discretionary Reserve </t>
  </si>
  <si>
    <t>2024 Budget</t>
  </si>
  <si>
    <t>Budget variance</t>
  </si>
  <si>
    <t>2023 Actuals</t>
  </si>
  <si>
    <t>2023 Actuals - variance</t>
  </si>
  <si>
    <t>Version 4</t>
  </si>
  <si>
    <t>Added 6+6 reforecast tab</t>
  </si>
  <si>
    <t>Changed DCMS assumpitons to reflect the ye 31/03/24 claim</t>
  </si>
  <si>
    <t>Assumed all DCMS expenditure in 2025 is non-core</t>
  </si>
  <si>
    <t>Changed allocations of DCMS grants to £325k 2024 and £125k 2025</t>
  </si>
  <si>
    <t>Year ended 2023 - Actuals vs budget and forecast</t>
  </si>
  <si>
    <t>2023 Budget</t>
  </si>
  <si>
    <t>2023 Reforecast</t>
  </si>
  <si>
    <t>PBT check</t>
  </si>
  <si>
    <t>Reforecast check</t>
  </si>
  <si>
    <t>The original budget summary page did not include the 'other income' section</t>
  </si>
  <si>
    <t>Version 4.1</t>
  </si>
  <si>
    <t>Changed budget 25 comparable from 'original reforecast 25' to '23 actuals'</t>
  </si>
  <si>
    <t>Actuals</t>
  </si>
  <si>
    <t>Membership - 2025 Budget vs 2024 reforecast &amp; 2023 actuals</t>
  </si>
  <si>
    <t>Admin -  2025 Budget vs 2024 reforecast &amp; 2023 actuals</t>
  </si>
  <si>
    <t>Home -  2025 Budget vs 2024 reforecast &amp; 2023 actuals</t>
  </si>
  <si>
    <t>Junior -  2025 Budget vs 2024 reforecast &amp; 2023 actuals</t>
  </si>
  <si>
    <t>International -  2025 Budget vs 2024 reforecast &amp; 2023 actuals</t>
  </si>
  <si>
    <t>Womens -  2025 Budget vs 2024 reforecast &amp; 2023 actuals</t>
  </si>
  <si>
    <t>23 variance</t>
  </si>
  <si>
    <t>Junior - International Trips</t>
  </si>
  <si>
    <t>International trips</t>
  </si>
  <si>
    <t>Reallocated £2000 from home costs to womens costs for 2023</t>
  </si>
  <si>
    <t>Reallocated £5k from 2023 contingency budget and moved to home budget</t>
  </si>
  <si>
    <t>Reallocated £5k from 2024 contingency budget and moved to home budget</t>
  </si>
  <si>
    <t>Justification for above is that home was the most uncertain directorate and any general contingency was fair to allocate to home in the circumstances</t>
  </si>
  <si>
    <t>Removed detail of DCMS spend on summary page as Malcolm is going to cover that in his papers</t>
  </si>
  <si>
    <t>Game fee / pay to play</t>
  </si>
  <si>
    <t>Stripe fees</t>
  </si>
  <si>
    <t>FIDE fees</t>
  </si>
  <si>
    <t>FIDE related income</t>
  </si>
  <si>
    <t>Misc payment processing fees</t>
  </si>
  <si>
    <t>Payroll</t>
  </si>
  <si>
    <t>Publicity and publishing</t>
  </si>
  <si>
    <t>Non payroll contractors</t>
  </si>
  <si>
    <t>Misc admin costs</t>
  </si>
  <si>
    <t>Cambridge International Open</t>
  </si>
  <si>
    <t>English Seniors Championships</t>
  </si>
  <si>
    <t>National clubs</t>
  </si>
  <si>
    <t>Arbiters Training Course</t>
  </si>
  <si>
    <t>County Championships Cost</t>
  </si>
  <si>
    <t>English Championships Costs</t>
  </si>
  <si>
    <t>Grand Prix  Cost</t>
  </si>
  <si>
    <t>Other Costs</t>
  </si>
  <si>
    <t>UK Open Blitz Championship</t>
  </si>
  <si>
    <t>Arbiters Training</t>
  </si>
  <si>
    <t>Online events</t>
  </si>
  <si>
    <t>English Senior Championship Costs</t>
  </si>
  <si>
    <t>Online event costs</t>
  </si>
  <si>
    <t>Chess in Prison</t>
  </si>
  <si>
    <t>Cambridge International Open Costs</t>
  </si>
  <si>
    <t>2024 Reforecast (March 2024)</t>
  </si>
  <si>
    <t>Re-forecast</t>
  </si>
  <si>
    <t>Forecast</t>
  </si>
  <si>
    <t>(C40.6)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</si>
</sst>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0\)"/>
    <numFmt numFmtId="165" formatCode="#,##0;\(#,##0\);\ \-"/>
    <numFmt numFmtId="166" formatCode="_-* #,##0_-;\-* #,##0_-;_-* &quot;-&quot;??_-;_-@_-"/>
    <numFmt numFmtId="167" formatCode="0.0%"/>
  </numFmts>
  <fonts count="27"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i/>
      <sz val="9"/>
      <color theme="1"/>
      <name val="Arial"/>
      <family val="2"/>
    </font>
    <font>
      <sz val="12"/>
      <color theme="1"/>
      <name val="Arial Black"/>
      <family val="2"/>
    </font>
    <font>
      <sz val="9"/>
      <name val="Arial"/>
      <family val="2"/>
    </font>
    <font>
      <b/>
      <sz val="9"/>
      <name val="Arial"/>
      <family val="2"/>
    </font>
    <font>
      <i/>
      <sz val="9"/>
      <name val="Arial"/>
      <family val="2"/>
    </font>
    <font>
      <sz val="11"/>
      <color theme="1"/>
      <name val="Arial Black"/>
      <family val="2"/>
    </font>
    <font>
      <sz val="11"/>
      <color theme="1"/>
      <name val="Arial"/>
      <family val="2"/>
    </font>
    <font>
      <b/>
      <sz val="11"/>
      <color theme="1"/>
      <name val="Arial"/>
      <family val="2"/>
    </font>
    <font>
      <sz val="10"/>
      <name val="Arial"/>
      <family val="2"/>
    </font>
    <font>
      <b/>
      <sz val="10"/>
      <name val="Arial"/>
      <family val="2"/>
    </font>
    <font>
      <sz val="14"/>
      <color theme="1"/>
      <name val="Arial Black"/>
      <family val="2"/>
    </font>
    <font>
      <i/>
      <sz val="11"/>
      <color theme="1"/>
      <name val="Arial"/>
      <family val="2"/>
    </font>
    <font>
      <sz val="10"/>
      <name val="Arial"/>
      <family val="2"/>
      <charset val="1"/>
    </font>
    <font>
      <b/>
      <sz val="10"/>
      <name val="Arial"/>
      <family val="2"/>
      <charset val="1"/>
    </font>
    <font>
      <sz val="12"/>
      <color rgb="FF222222"/>
      <name val="Arial"/>
      <family val="2"/>
    </font>
    <font>
      <b/>
      <sz val="12"/>
      <color rgb="FF222222"/>
      <name val="Arial"/>
      <family val="2"/>
    </font>
    <font>
      <b/>
      <u/>
      <sz val="12"/>
      <color rgb="FF222222"/>
      <name val="Arial"/>
      <family val="2"/>
    </font>
    <font>
      <u/>
      <sz val="12"/>
      <color rgb="FF222222"/>
      <name val="Arial"/>
      <family val="2"/>
    </font>
    <font>
      <sz val="14"/>
      <color theme="1"/>
      <name val="Calibri"/>
      <family val="2"/>
    </font>
  </fonts>
  <fills count="16">
    <fill>
      <patternFill patternType="none"/>
    </fill>
    <fill>
      <patternFill patternType="gray125"/>
    </fill>
    <fill>
      <patternFill patternType="solid">
        <fgColor rgb="FFF2F2F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FF"/>
        <bgColor indexed="64"/>
      </patternFill>
    </fill>
  </fills>
  <borders count="1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7" fillId="0" borderId="0" applyFont="0" applyFill="0" applyBorder="0" applyAlignment="0" applyProtection="0"/>
    <xf numFmtId="0" fontId="7" fillId="0" borderId="0"/>
    <xf numFmtId="0" fontId="16" fillId="0" borderId="0"/>
    <xf numFmtId="0" fontId="20" fillId="0" borderId="0"/>
    <xf numFmtId="43" fontId="20" fillId="0" borderId="0" applyFont="0" applyFill="0" applyBorder="0" applyAlignment="0" applyProtection="0"/>
  </cellStyleXfs>
  <cellXfs count="205">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vertical="center"/>
    </xf>
    <xf numFmtId="0" fontId="6" fillId="0" borderId="2" xfId="0" applyFont="1" applyBorder="1" applyAlignment="1">
      <alignment vertical="center"/>
    </xf>
    <xf numFmtId="164" fontId="6" fillId="0" borderId="2" xfId="0" applyNumberFormat="1" applyFont="1" applyBorder="1" applyAlignment="1">
      <alignment horizontal="right" vertical="center"/>
    </xf>
    <xf numFmtId="0" fontId="6" fillId="2" borderId="3" xfId="0" applyFont="1" applyFill="1" applyBorder="1" applyAlignment="1">
      <alignment vertical="center"/>
    </xf>
    <xf numFmtId="164" fontId="6" fillId="2" borderId="3" xfId="0" applyNumberFormat="1" applyFont="1" applyFill="1" applyBorder="1" applyAlignment="1">
      <alignment horizontal="right" vertical="center"/>
    </xf>
    <xf numFmtId="0" fontId="7" fillId="0" borderId="0" xfId="0" applyFont="1"/>
    <xf numFmtId="165" fontId="7" fillId="0" borderId="0" xfId="1" applyNumberFormat="1" applyFont="1"/>
    <xf numFmtId="165" fontId="0" fillId="0" borderId="0" xfId="1" applyNumberFormat="1" applyFont="1"/>
    <xf numFmtId="165" fontId="7" fillId="0" borderId="0" xfId="0" applyNumberFormat="1" applyFont="1"/>
    <xf numFmtId="165" fontId="0" fillId="0" borderId="0" xfId="0" applyNumberFormat="1"/>
    <xf numFmtId="0" fontId="6" fillId="0" borderId="0" xfId="0" applyFont="1"/>
    <xf numFmtId="165" fontId="6" fillId="0" borderId="0" xfId="0" applyNumberFormat="1" applyFont="1"/>
    <xf numFmtId="0" fontId="6" fillId="0" borderId="4" xfId="0" applyFont="1" applyBorder="1"/>
    <xf numFmtId="165" fontId="6" fillId="0" borderId="4" xfId="0" applyNumberFormat="1" applyFont="1" applyBorder="1"/>
    <xf numFmtId="0" fontId="7" fillId="0" borderId="0" xfId="0" applyFont="1" applyAlignment="1">
      <alignment horizontal="right"/>
    </xf>
    <xf numFmtId="0" fontId="0" fillId="0" borderId="0" xfId="0" applyAlignment="1">
      <alignment horizontal="right"/>
    </xf>
    <xf numFmtId="0" fontId="0" fillId="3" borderId="2" xfId="0" applyFill="1" applyBorder="1" applyAlignment="1">
      <alignment vertical="center"/>
    </xf>
    <xf numFmtId="164" fontId="0" fillId="3" borderId="2" xfId="0" applyNumberFormat="1" applyFill="1" applyBorder="1" applyAlignment="1">
      <alignment horizontal="right" vertical="center"/>
    </xf>
    <xf numFmtId="0" fontId="7" fillId="3" borderId="0" xfId="0" applyFont="1" applyFill="1"/>
    <xf numFmtId="0" fontId="0" fillId="3" borderId="0" xfId="0" applyFill="1"/>
    <xf numFmtId="0" fontId="0" fillId="4" borderId="0" xfId="0" applyFill="1" applyAlignment="1">
      <alignment vertical="center"/>
    </xf>
    <xf numFmtId="164" fontId="0" fillId="4" borderId="0" xfId="0" applyNumberFormat="1" applyFill="1" applyAlignment="1">
      <alignment horizontal="right" vertical="center"/>
    </xf>
    <xf numFmtId="0" fontId="7" fillId="4" borderId="0" xfId="0" applyFont="1" applyFill="1"/>
    <xf numFmtId="0" fontId="0" fillId="4" borderId="0" xfId="0" applyFill="1"/>
    <xf numFmtId="0" fontId="0" fillId="4" borderId="2" xfId="0" applyFill="1" applyBorder="1" applyAlignment="1">
      <alignment vertical="center"/>
    </xf>
    <xf numFmtId="164" fontId="0" fillId="4" borderId="2" xfId="0" applyNumberFormat="1" applyFill="1" applyBorder="1" applyAlignment="1">
      <alignment horizontal="right" vertical="center"/>
    </xf>
    <xf numFmtId="0" fontId="0" fillId="5" borderId="2" xfId="0" applyFill="1" applyBorder="1" applyAlignment="1">
      <alignment vertical="center"/>
    </xf>
    <xf numFmtId="164" fontId="0" fillId="5" borderId="2" xfId="0" applyNumberFormat="1" applyFill="1" applyBorder="1" applyAlignment="1">
      <alignment horizontal="right" vertical="center"/>
    </xf>
    <xf numFmtId="0" fontId="7" fillId="5" borderId="0" xfId="0" applyFont="1" applyFill="1"/>
    <xf numFmtId="0" fontId="0" fillId="5" borderId="0" xfId="0" applyFill="1"/>
    <xf numFmtId="0" fontId="0" fillId="6" borderId="2" xfId="0" applyFill="1" applyBorder="1" applyAlignment="1">
      <alignment vertical="center"/>
    </xf>
    <xf numFmtId="164" fontId="0" fillId="6" borderId="2" xfId="0" applyNumberFormat="1" applyFill="1" applyBorder="1" applyAlignment="1">
      <alignment horizontal="right" vertical="center"/>
    </xf>
    <xf numFmtId="0" fontId="7" fillId="6" borderId="0" xfId="0" applyFont="1" applyFill="1"/>
    <xf numFmtId="0" fontId="0" fillId="6" borderId="0" xfId="0" applyFill="1"/>
    <xf numFmtId="0" fontId="0" fillId="7" borderId="2" xfId="0" applyFill="1" applyBorder="1" applyAlignment="1">
      <alignment vertical="center"/>
    </xf>
    <xf numFmtId="164" fontId="0" fillId="7" borderId="2" xfId="0" applyNumberFormat="1" applyFill="1" applyBorder="1" applyAlignment="1">
      <alignment horizontal="right" vertical="center"/>
    </xf>
    <xf numFmtId="0" fontId="7" fillId="7" borderId="0" xfId="0" applyFont="1" applyFill="1"/>
    <xf numFmtId="0" fontId="0" fillId="7" borderId="0" xfId="0" applyFill="1"/>
    <xf numFmtId="0" fontId="0" fillId="7" borderId="0" xfId="0" applyFill="1" applyAlignment="1">
      <alignment vertical="center"/>
    </xf>
    <xf numFmtId="164" fontId="0" fillId="7" borderId="0" xfId="0" applyNumberFormat="1" applyFill="1" applyAlignment="1">
      <alignment horizontal="right" vertical="center"/>
    </xf>
    <xf numFmtId="0" fontId="0" fillId="8" borderId="2" xfId="0" applyFill="1" applyBorder="1" applyAlignment="1">
      <alignment vertical="center"/>
    </xf>
    <xf numFmtId="164" fontId="0" fillId="8" borderId="2" xfId="0" applyNumberFormat="1" applyFill="1" applyBorder="1" applyAlignment="1">
      <alignment horizontal="right" vertical="center"/>
    </xf>
    <xf numFmtId="0" fontId="7" fillId="8" borderId="0" xfId="0" applyFont="1" applyFill="1"/>
    <xf numFmtId="0" fontId="0" fillId="8" borderId="0" xfId="0" applyFill="1"/>
    <xf numFmtId="0" fontId="0" fillId="0" borderId="2" xfId="0" applyBorder="1" applyAlignment="1">
      <alignment vertical="center"/>
    </xf>
    <xf numFmtId="0" fontId="0" fillId="0" borderId="0" xfId="0" applyAlignment="1">
      <alignment vertical="center"/>
    </xf>
    <xf numFmtId="0" fontId="7" fillId="0" borderId="0" xfId="0" applyFont="1" applyAlignment="1">
      <alignment vertical="center"/>
    </xf>
    <xf numFmtId="165" fontId="6" fillId="0" borderId="0" xfId="1" applyNumberFormat="1" applyFont="1"/>
    <xf numFmtId="0" fontId="8" fillId="0" borderId="2" xfId="0" applyFont="1" applyBorder="1" applyAlignment="1">
      <alignment vertical="center"/>
    </xf>
    <xf numFmtId="165" fontId="8" fillId="0" borderId="0" xfId="1" applyNumberFormat="1" applyFont="1"/>
    <xf numFmtId="165" fontId="7" fillId="0" borderId="0" xfId="1" applyNumberFormat="1" applyFont="1" applyFill="1"/>
    <xf numFmtId="165" fontId="6" fillId="0" borderId="0" xfId="1" applyNumberFormat="1" applyFont="1" applyFill="1"/>
    <xf numFmtId="0" fontId="6" fillId="0" borderId="5" xfId="0" applyFont="1" applyBorder="1"/>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165" fontId="6" fillId="0" borderId="6" xfId="1" applyNumberFormat="1" applyFont="1" applyBorder="1"/>
    <xf numFmtId="0" fontId="6" fillId="0" borderId="6" xfId="0" applyFont="1" applyBorder="1"/>
    <xf numFmtId="165" fontId="6" fillId="0" borderId="4" xfId="1" applyNumberFormat="1" applyFont="1" applyBorder="1"/>
    <xf numFmtId="0" fontId="0" fillId="0" borderId="4" xfId="0" applyBorder="1"/>
    <xf numFmtId="0" fontId="8" fillId="0" borderId="0" xfId="0" applyFont="1"/>
    <xf numFmtId="0" fontId="9" fillId="0" borderId="7" xfId="0" applyFont="1" applyBorder="1"/>
    <xf numFmtId="165" fontId="0" fillId="0" borderId="7" xfId="1" applyNumberFormat="1" applyFont="1" applyBorder="1"/>
    <xf numFmtId="0" fontId="0" fillId="0" borderId="7" xfId="0" applyBorder="1"/>
    <xf numFmtId="0" fontId="7" fillId="0" borderId="2" xfId="0" applyFont="1" applyBorder="1" applyAlignment="1">
      <alignment vertical="center"/>
    </xf>
    <xf numFmtId="0" fontId="0" fillId="9" borderId="2" xfId="0" applyFill="1" applyBorder="1" applyAlignment="1">
      <alignment vertical="center"/>
    </xf>
    <xf numFmtId="164" fontId="0" fillId="9" borderId="2" xfId="0" applyNumberFormat="1" applyFill="1" applyBorder="1" applyAlignment="1">
      <alignment horizontal="right" vertical="center"/>
    </xf>
    <xf numFmtId="0" fontId="7" fillId="9" borderId="0" xfId="0" applyFont="1" applyFill="1"/>
    <xf numFmtId="0" fontId="0" fillId="9" borderId="0" xfId="0" applyFill="1"/>
    <xf numFmtId="165" fontId="6" fillId="0" borderId="0" xfId="1" applyNumberFormat="1" applyFont="1" applyBorder="1"/>
    <xf numFmtId="165" fontId="7" fillId="0" borderId="0" xfId="1" applyNumberFormat="1" applyFont="1" applyBorder="1"/>
    <xf numFmtId="165" fontId="8" fillId="0" borderId="0" xfId="0" applyNumberFormat="1" applyFont="1"/>
    <xf numFmtId="165" fontId="0" fillId="0" borderId="0" xfId="1" applyNumberFormat="1" applyFont="1" applyFill="1"/>
    <xf numFmtId="165" fontId="0" fillId="0" borderId="7" xfId="1" applyNumberFormat="1" applyFont="1" applyFill="1" applyBorder="1"/>
    <xf numFmtId="165" fontId="8" fillId="0" borderId="0" xfId="1" applyNumberFormat="1" applyFont="1" applyFill="1"/>
    <xf numFmtId="165" fontId="6" fillId="0" borderId="6" xfId="1" applyNumberFormat="1" applyFont="1" applyFill="1" applyBorder="1"/>
    <xf numFmtId="165" fontId="6" fillId="0" borderId="4" xfId="1" applyNumberFormat="1" applyFont="1" applyFill="1" applyBorder="1"/>
    <xf numFmtId="0" fontId="0" fillId="0" borderId="0" xfId="0" quotePrefix="1"/>
    <xf numFmtId="9" fontId="0" fillId="0" borderId="0" xfId="0" applyNumberFormat="1"/>
    <xf numFmtId="9" fontId="8" fillId="0" borderId="0" xfId="0" applyNumberFormat="1" applyFont="1"/>
    <xf numFmtId="0" fontId="7" fillId="0" borderId="5" xfId="0" applyFont="1" applyBorder="1"/>
    <xf numFmtId="0" fontId="2" fillId="0" borderId="0" xfId="2" applyFont="1" applyAlignment="1">
      <alignment vertical="center"/>
    </xf>
    <xf numFmtId="0" fontId="1" fillId="0" borderId="0" xfId="2" applyFont="1"/>
    <xf numFmtId="0" fontId="3" fillId="0" borderId="0" xfId="2" applyFont="1" applyAlignment="1">
      <alignment vertical="center"/>
    </xf>
    <xf numFmtId="0" fontId="3" fillId="0" borderId="0" xfId="2" applyFont="1"/>
    <xf numFmtId="0" fontId="7" fillId="0" borderId="0" xfId="2"/>
    <xf numFmtId="0" fontId="5" fillId="0" borderId="1" xfId="2" applyFont="1" applyBorder="1" applyAlignment="1">
      <alignment vertical="center"/>
    </xf>
    <xf numFmtId="0" fontId="5" fillId="0" borderId="1" xfId="2" applyFont="1" applyBorder="1" applyAlignment="1">
      <alignment horizontal="left" vertical="center"/>
    </xf>
    <xf numFmtId="0" fontId="5" fillId="0" borderId="1" xfId="2" applyFont="1" applyBorder="1" applyAlignment="1">
      <alignment horizontal="right" vertical="center"/>
    </xf>
    <xf numFmtId="0" fontId="4" fillId="0" borderId="0" xfId="2" applyFont="1"/>
    <xf numFmtId="0" fontId="7" fillId="0" borderId="2" xfId="2" applyBorder="1" applyAlignment="1">
      <alignment vertical="center"/>
    </xf>
    <xf numFmtId="164" fontId="7" fillId="0" borderId="2" xfId="2" applyNumberFormat="1" applyBorder="1" applyAlignment="1">
      <alignment horizontal="right" vertical="center"/>
    </xf>
    <xf numFmtId="0" fontId="6" fillId="0" borderId="2" xfId="2" applyFont="1" applyBorder="1" applyAlignment="1">
      <alignment vertical="center"/>
    </xf>
    <xf numFmtId="164" fontId="6" fillId="0" borderId="2" xfId="2" applyNumberFormat="1" applyFont="1" applyBorder="1" applyAlignment="1">
      <alignment horizontal="right" vertical="center"/>
    </xf>
    <xf numFmtId="0" fontId="7" fillId="0" borderId="0" xfId="2" applyAlignment="1">
      <alignment vertical="center"/>
    </xf>
    <xf numFmtId="164" fontId="7" fillId="0" borderId="0" xfId="2" applyNumberFormat="1" applyAlignment="1">
      <alignment horizontal="right" vertical="center"/>
    </xf>
    <xf numFmtId="0" fontId="6" fillId="2" borderId="3" xfId="2" applyFont="1" applyFill="1" applyBorder="1" applyAlignment="1">
      <alignment vertical="center"/>
    </xf>
    <xf numFmtId="164" fontId="6" fillId="2" borderId="3" xfId="2" applyNumberFormat="1" applyFont="1" applyFill="1" applyBorder="1" applyAlignment="1">
      <alignment horizontal="right" vertical="center"/>
    </xf>
    <xf numFmtId="0" fontId="9" fillId="0" borderId="0" xfId="0" applyFont="1"/>
    <xf numFmtId="165" fontId="0" fillId="0" borderId="0" xfId="1" applyNumberFormat="1" applyFont="1" applyBorder="1"/>
    <xf numFmtId="1" fontId="9" fillId="0" borderId="0" xfId="0" applyNumberFormat="1" applyFont="1"/>
    <xf numFmtId="1" fontId="0" fillId="0" borderId="0" xfId="1" applyNumberFormat="1" applyFont="1" applyBorder="1"/>
    <xf numFmtId="1" fontId="0" fillId="0" borderId="0" xfId="0" applyNumberFormat="1"/>
    <xf numFmtId="0" fontId="7" fillId="10" borderId="2" xfId="2" applyFill="1" applyBorder="1" applyAlignment="1">
      <alignment vertical="center"/>
    </xf>
    <xf numFmtId="164" fontId="7" fillId="10" borderId="2" xfId="2" applyNumberFormat="1" applyFill="1" applyBorder="1" applyAlignment="1">
      <alignment horizontal="right" vertical="center"/>
    </xf>
    <xf numFmtId="0" fontId="7" fillId="10" borderId="0" xfId="2" applyFill="1"/>
    <xf numFmtId="0" fontId="10" fillId="0" borderId="7" xfId="0" applyFont="1" applyBorder="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165" fontId="14" fillId="0" borderId="0" xfId="0" applyNumberFormat="1" applyFont="1"/>
    <xf numFmtId="0" fontId="15" fillId="0" borderId="0" xfId="0" applyFont="1"/>
    <xf numFmtId="10" fontId="0" fillId="0" borderId="0" xfId="0" applyNumberFormat="1"/>
    <xf numFmtId="0" fontId="16" fillId="0" borderId="0" xfId="0" applyFont="1"/>
    <xf numFmtId="165" fontId="10" fillId="0" borderId="0" xfId="0" applyNumberFormat="1" applyFont="1"/>
    <xf numFmtId="0" fontId="17" fillId="0" borderId="0" xfId="3" applyFont="1"/>
    <xf numFmtId="0" fontId="16" fillId="0" borderId="0" xfId="3"/>
    <xf numFmtId="14" fontId="16" fillId="0" borderId="0" xfId="3" applyNumberFormat="1"/>
    <xf numFmtId="14" fontId="14" fillId="0" borderId="0" xfId="0" applyNumberFormat="1" applyFont="1"/>
    <xf numFmtId="0" fontId="18" fillId="0" borderId="0" xfId="0" applyFont="1"/>
    <xf numFmtId="0" fontId="19" fillId="0" borderId="0" xfId="0" applyFont="1"/>
    <xf numFmtId="0" fontId="15" fillId="0" borderId="8" xfId="0" applyFont="1" applyBorder="1" applyAlignment="1">
      <alignment horizontal="center"/>
    </xf>
    <xf numFmtId="165" fontId="14" fillId="0" borderId="0" xfId="0" applyNumberFormat="1" applyFont="1" applyAlignment="1">
      <alignment horizontal="center"/>
    </xf>
    <xf numFmtId="165" fontId="15" fillId="0" borderId="0" xfId="0" applyNumberFormat="1" applyFont="1"/>
    <xf numFmtId="0" fontId="15" fillId="4" borderId="5" xfId="0" applyFont="1" applyFill="1" applyBorder="1"/>
    <xf numFmtId="0" fontId="14" fillId="5" borderId="0" xfId="0" applyFont="1" applyFill="1"/>
    <xf numFmtId="165" fontId="14" fillId="5" borderId="0" xfId="0" applyNumberFormat="1" applyFont="1" applyFill="1"/>
    <xf numFmtId="0" fontId="17" fillId="0" borderId="0" xfId="4" applyFont="1"/>
    <xf numFmtId="166" fontId="17" fillId="0" borderId="0" xfId="5" applyNumberFormat="1" applyFont="1"/>
    <xf numFmtId="0" fontId="20" fillId="0" borderId="0" xfId="4"/>
    <xf numFmtId="14" fontId="20" fillId="0" borderId="0" xfId="4" applyNumberFormat="1"/>
    <xf numFmtId="166" fontId="0" fillId="0" borderId="0" xfId="5" applyNumberFormat="1" applyFont="1"/>
    <xf numFmtId="2" fontId="20" fillId="0" borderId="0" xfId="4" applyNumberFormat="1"/>
    <xf numFmtId="43" fontId="20" fillId="0" borderId="0" xfId="4" applyNumberFormat="1"/>
    <xf numFmtId="14" fontId="16" fillId="0" borderId="0" xfId="4" applyNumberFormat="1" applyFont="1"/>
    <xf numFmtId="166" fontId="0" fillId="11" borderId="0" xfId="5" applyNumberFormat="1" applyFont="1" applyFill="1"/>
    <xf numFmtId="43" fontId="0" fillId="0" borderId="0" xfId="1" applyFont="1"/>
    <xf numFmtId="166" fontId="0" fillId="0" borderId="0" xfId="1" applyNumberFormat="1" applyFont="1"/>
    <xf numFmtId="9" fontId="0" fillId="0" borderId="0" xfId="1" applyNumberFormat="1" applyFont="1"/>
    <xf numFmtId="43" fontId="0" fillId="10" borderId="0" xfId="1" applyFont="1" applyFill="1"/>
    <xf numFmtId="0" fontId="7" fillId="10" borderId="0" xfId="0" applyFont="1" applyFill="1"/>
    <xf numFmtId="167" fontId="0" fillId="0" borderId="0" xfId="0" applyNumberFormat="1"/>
    <xf numFmtId="0" fontId="0" fillId="0" borderId="0" xfId="0" applyAlignment="1">
      <alignment wrapText="1"/>
    </xf>
    <xf numFmtId="0" fontId="7" fillId="0" borderId="0" xfId="0" applyFont="1" applyAlignment="1">
      <alignment wrapText="1"/>
    </xf>
    <xf numFmtId="165" fontId="0" fillId="0" borderId="0" xfId="0" applyNumberFormat="1" applyAlignment="1">
      <alignment wrapText="1"/>
    </xf>
    <xf numFmtId="165" fontId="7" fillId="0" borderId="0" xfId="0" applyNumberFormat="1" applyFont="1" applyAlignment="1">
      <alignment wrapText="1"/>
    </xf>
    <xf numFmtId="0" fontId="21" fillId="0" borderId="0" xfId="0" applyFont="1"/>
    <xf numFmtId="3" fontId="0" fillId="0" borderId="0" xfId="0" applyNumberFormat="1" applyAlignment="1">
      <alignment horizontal="center"/>
    </xf>
    <xf numFmtId="3" fontId="0" fillId="0" borderId="0" xfId="0" applyNumberFormat="1"/>
    <xf numFmtId="3" fontId="21" fillId="12" borderId="0" xfId="0" applyNumberFormat="1" applyFont="1" applyFill="1" applyAlignment="1">
      <alignment horizontal="center"/>
    </xf>
    <xf numFmtId="3" fontId="17" fillId="0" borderId="0" xfId="0" applyNumberFormat="1" applyFont="1" applyAlignment="1">
      <alignment horizontal="center"/>
    </xf>
    <xf numFmtId="3" fontId="21" fillId="0" borderId="0" xfId="0" applyNumberFormat="1" applyFont="1" applyAlignment="1">
      <alignment horizontal="center"/>
    </xf>
    <xf numFmtId="4" fontId="0" fillId="0" borderId="0" xfId="0" applyNumberFormat="1"/>
    <xf numFmtId="3" fontId="7" fillId="0" borderId="0" xfId="0" applyNumberFormat="1" applyFont="1"/>
    <xf numFmtId="165" fontId="7" fillId="0" borderId="8" xfId="0" applyNumberFormat="1" applyFont="1" applyBorder="1" applyAlignment="1">
      <alignment wrapText="1"/>
    </xf>
    <xf numFmtId="0" fontId="7" fillId="0" borderId="4" xfId="0" applyFont="1" applyBorder="1"/>
    <xf numFmtId="165" fontId="0" fillId="0" borderId="4" xfId="0" applyNumberFormat="1" applyBorder="1"/>
    <xf numFmtId="165" fontId="6" fillId="0" borderId="6" xfId="0" applyNumberFormat="1" applyFont="1" applyBorder="1"/>
    <xf numFmtId="165" fontId="0" fillId="0" borderId="7" xfId="0" applyNumberFormat="1" applyBorder="1"/>
    <xf numFmtId="0" fontId="7" fillId="0" borderId="0" xfId="0" applyFont="1" applyAlignment="1">
      <alignment horizontal="right" wrapText="1"/>
    </xf>
    <xf numFmtId="165" fontId="7" fillId="0" borderId="8" xfId="0" applyNumberFormat="1" applyFont="1" applyBorder="1"/>
    <xf numFmtId="2" fontId="0" fillId="0" borderId="0" xfId="0" applyNumberFormat="1"/>
    <xf numFmtId="165" fontId="0" fillId="3" borderId="0" xfId="0" applyNumberFormat="1" applyFill="1"/>
    <xf numFmtId="165" fontId="0" fillId="3" borderId="0" xfId="1" applyNumberFormat="1" applyFont="1" applyFill="1"/>
    <xf numFmtId="0" fontId="6" fillId="0" borderId="5" xfId="0" applyFont="1" applyBorder="1" applyAlignment="1">
      <alignment wrapText="1"/>
    </xf>
    <xf numFmtId="0" fontId="0" fillId="13" borderId="0" xfId="0" applyFill="1"/>
    <xf numFmtId="0" fontId="0" fillId="0" borderId="0" xfId="0" applyAlignment="1">
      <alignment horizontal="left"/>
    </xf>
    <xf numFmtId="165" fontId="7" fillId="14" borderId="8" xfId="0" applyNumberFormat="1" applyFont="1" applyFill="1" applyBorder="1" applyAlignment="1">
      <alignment wrapText="1"/>
    </xf>
    <xf numFmtId="165" fontId="7" fillId="14" borderId="0" xfId="0" applyNumberFormat="1" applyFont="1" applyFill="1" applyAlignment="1">
      <alignment wrapText="1"/>
    </xf>
    <xf numFmtId="3" fontId="0" fillId="14" borderId="0" xfId="0" applyNumberFormat="1" applyFill="1"/>
    <xf numFmtId="4" fontId="0" fillId="14" borderId="0" xfId="0" applyNumberFormat="1" applyFill="1"/>
    <xf numFmtId="2" fontId="0" fillId="14" borderId="0" xfId="0" applyNumberFormat="1" applyFill="1"/>
    <xf numFmtId="3" fontId="21" fillId="14" borderId="0" xfId="0" applyNumberFormat="1" applyFont="1" applyFill="1" applyAlignment="1">
      <alignment horizontal="center"/>
    </xf>
    <xf numFmtId="3" fontId="17" fillId="14" borderId="0" xfId="0" applyNumberFormat="1" applyFont="1" applyFill="1" applyAlignment="1">
      <alignment horizontal="center"/>
    </xf>
    <xf numFmtId="0" fontId="0" fillId="14" borderId="0" xfId="0" applyFill="1"/>
    <xf numFmtId="165" fontId="0" fillId="14" borderId="0" xfId="0" applyNumberFormat="1" applyFill="1" applyAlignment="1">
      <alignment wrapText="1"/>
    </xf>
    <xf numFmtId="167" fontId="0" fillId="14" borderId="0" xfId="0" applyNumberFormat="1" applyFill="1"/>
    <xf numFmtId="0" fontId="22" fillId="0" borderId="0" xfId="0" applyFont="1" applyAlignment="1">
      <alignment vertical="center" wrapText="1"/>
    </xf>
    <xf numFmtId="0" fontId="24" fillId="0" borderId="0" xfId="0" applyFont="1"/>
    <xf numFmtId="0" fontId="24" fillId="0" borderId="0" xfId="0" applyFont="1" applyAlignment="1">
      <alignment vertical="center" wrapText="1"/>
    </xf>
    <xf numFmtId="0" fontId="22" fillId="15" borderId="0" xfId="0" applyFont="1" applyFill="1" applyAlignment="1">
      <alignment vertical="center" wrapText="1"/>
    </xf>
    <xf numFmtId="3" fontId="22" fillId="15" borderId="0" xfId="0" applyNumberFormat="1" applyFont="1" applyFill="1" applyAlignment="1">
      <alignment horizontal="right" vertical="center" wrapText="1"/>
    </xf>
    <xf numFmtId="0" fontId="22" fillId="15" borderId="0" xfId="0" applyFont="1" applyFill="1" applyAlignment="1">
      <alignment horizontal="right" vertical="center" wrapText="1"/>
    </xf>
    <xf numFmtId="0" fontId="22" fillId="0" borderId="0" xfId="0" applyFont="1"/>
    <xf numFmtId="0" fontId="25" fillId="0" borderId="0" xfId="0" applyFont="1" applyAlignment="1">
      <alignment vertical="center" wrapText="1"/>
    </xf>
    <xf numFmtId="0" fontId="0" fillId="0" borderId="0" xfId="1" applyNumberFormat="1" applyFont="1" applyAlignment="1">
      <alignment horizontal="right"/>
    </xf>
    <xf numFmtId="165" fontId="6" fillId="0" borderId="0" xfId="1" applyNumberFormat="1" applyFont="1" applyAlignment="1">
      <alignment horizontal="right"/>
    </xf>
    <xf numFmtId="0" fontId="6" fillId="0" borderId="0" xfId="0" applyFont="1" applyAlignment="1">
      <alignment horizontal="right"/>
    </xf>
    <xf numFmtId="0" fontId="15" fillId="0" borderId="12" xfId="0" applyFont="1" applyBorder="1" applyAlignment="1">
      <alignment horizontal="center"/>
    </xf>
    <xf numFmtId="0" fontId="15" fillId="0" borderId="6" xfId="0" applyFont="1" applyBorder="1" applyAlignment="1">
      <alignment horizontal="center"/>
    </xf>
    <xf numFmtId="0" fontId="15" fillId="0" borderId="13" xfId="0" applyFont="1" applyBorder="1" applyAlignment="1">
      <alignment horizont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6" fillId="0" borderId="7" xfId="0" applyFont="1" applyBorder="1"/>
  </cellXfs>
  <cellStyles count="6">
    <cellStyle name="Comma" xfId="1" builtinId="3"/>
    <cellStyle name="Comma 2" xfId="5" xr:uid="{474F6E56-CBF0-4858-8331-2503556A33DF}"/>
    <cellStyle name="Normal" xfId="0" builtinId="0" customBuiltin="1"/>
    <cellStyle name="Normal 2" xfId="2" xr:uid="{A84D4E8D-6E82-48B5-883D-F0A83036EDA6}"/>
    <cellStyle name="Normal 3" xfId="3" xr:uid="{54D856CC-E189-4BAF-9F09-03E56AAA31F4}"/>
    <cellStyle name="Normal 4" xfId="4" xr:uid="{14EE644A-E05B-4B4D-BF00-7C409B910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425DC-3B00-4D55-9F1F-027D7FAAF80A}">
  <sheetPr codeName="Sheet2">
    <pageSetUpPr fitToPage="1"/>
  </sheetPr>
  <dimension ref="B1:L42"/>
  <sheetViews>
    <sheetView zoomScaleNormal="100" workbookViewId="0">
      <selection activeCell="B43" sqref="B43"/>
    </sheetView>
  </sheetViews>
  <sheetFormatPr defaultRowHeight="14.25" x14ac:dyDescent="0.2"/>
  <cols>
    <col min="1" max="1" width="2.5703125" style="119" customWidth="1"/>
    <col min="2" max="2" width="49.5703125" style="119" customWidth="1"/>
    <col min="3" max="3" width="11.42578125" style="119" hidden="1" customWidth="1"/>
    <col min="4" max="4" width="16" style="119" customWidth="1"/>
    <col min="5" max="5" width="11.28515625" style="119" hidden="1" customWidth="1"/>
    <col min="6" max="6" width="9.140625" style="119"/>
    <col min="7" max="7" width="10.7109375" style="119" hidden="1" customWidth="1"/>
    <col min="8" max="8" width="17.42578125" style="119" customWidth="1"/>
    <col min="9" max="9" width="11.85546875" style="119" hidden="1" customWidth="1"/>
    <col min="10" max="16384" width="9.140625" style="119"/>
  </cols>
  <sheetData>
    <row r="1" spans="2:12" ht="18.75" x14ac:dyDescent="0.4">
      <c r="B1" s="118" t="s">
        <v>338</v>
      </c>
    </row>
    <row r="3" spans="2:12" ht="15" x14ac:dyDescent="0.25">
      <c r="C3" s="198" t="s">
        <v>332</v>
      </c>
      <c r="D3" s="199"/>
      <c r="E3" s="200"/>
      <c r="G3" s="198" t="s">
        <v>333</v>
      </c>
      <c r="H3" s="199"/>
      <c r="I3" s="200"/>
    </row>
    <row r="4" spans="2:12" hidden="1" x14ac:dyDescent="0.2">
      <c r="C4" s="120"/>
      <c r="D4" s="120"/>
      <c r="E4" s="120"/>
      <c r="F4" s="120"/>
      <c r="G4" s="120"/>
      <c r="H4" s="120"/>
      <c r="I4" s="120"/>
      <c r="J4" s="120"/>
      <c r="K4" s="120"/>
      <c r="L4" s="120"/>
    </row>
    <row r="5" spans="2:12" ht="15" hidden="1" x14ac:dyDescent="0.25">
      <c r="C5" s="131" t="s">
        <v>257</v>
      </c>
      <c r="D5" s="131" t="s">
        <v>255</v>
      </c>
      <c r="E5" s="131" t="s">
        <v>256</v>
      </c>
      <c r="F5" s="132"/>
      <c r="G5" s="131" t="s">
        <v>257</v>
      </c>
      <c r="H5" s="131" t="s">
        <v>255</v>
      </c>
      <c r="I5" s="131" t="s">
        <v>256</v>
      </c>
      <c r="J5" s="132"/>
      <c r="K5" s="132"/>
      <c r="L5" s="120"/>
    </row>
    <row r="6" spans="2:12" x14ac:dyDescent="0.2">
      <c r="C6" s="120"/>
      <c r="D6" s="120"/>
      <c r="E6" s="120"/>
      <c r="F6" s="120"/>
      <c r="G6" s="120"/>
      <c r="H6" s="120"/>
      <c r="I6" s="120"/>
      <c r="J6" s="120"/>
      <c r="K6" s="120"/>
      <c r="L6" s="120"/>
    </row>
    <row r="7" spans="2:12" ht="15" x14ac:dyDescent="0.25">
      <c r="B7" s="134" t="s">
        <v>334</v>
      </c>
      <c r="C7" s="120"/>
      <c r="D7" s="120"/>
      <c r="E7" s="120"/>
      <c r="F7" s="120"/>
      <c r="G7" s="120"/>
      <c r="H7" s="120"/>
      <c r="I7" s="120"/>
      <c r="J7" s="120"/>
      <c r="K7" s="120"/>
      <c r="L7" s="120"/>
    </row>
    <row r="8" spans="2:12" x14ac:dyDescent="0.2">
      <c r="C8" s="120"/>
      <c r="D8" s="120"/>
      <c r="E8" s="120"/>
      <c r="F8" s="120"/>
      <c r="G8" s="120"/>
      <c r="H8" s="120"/>
      <c r="I8" s="120"/>
      <c r="J8" s="120"/>
      <c r="K8" s="120"/>
      <c r="L8" s="120"/>
    </row>
    <row r="9" spans="2:12" x14ac:dyDescent="0.2">
      <c r="B9" s="119" t="s">
        <v>340</v>
      </c>
      <c r="C9" s="120">
        <f>D9</f>
        <v>76870.000000000015</v>
      </c>
      <c r="D9" s="120">
        <f>'Reserves reconciliation'!$B$13</f>
        <v>76870.000000000015</v>
      </c>
      <c r="E9" s="120">
        <f>D9</f>
        <v>76870.000000000015</v>
      </c>
      <c r="F9" s="120"/>
      <c r="G9" s="120">
        <f>C9</f>
        <v>76870.000000000015</v>
      </c>
      <c r="H9" s="120">
        <f>D9</f>
        <v>76870.000000000015</v>
      </c>
      <c r="I9" s="120">
        <f>E9</f>
        <v>76870.000000000015</v>
      </c>
      <c r="J9" s="120"/>
      <c r="K9" s="120"/>
      <c r="L9" s="120"/>
    </row>
    <row r="10" spans="2:12" x14ac:dyDescent="0.2">
      <c r="C10" s="120"/>
      <c r="D10" s="120"/>
      <c r="E10" s="120"/>
      <c r="F10" s="120"/>
      <c r="G10" s="120"/>
      <c r="H10" s="120"/>
      <c r="I10" s="120"/>
      <c r="J10" s="120"/>
      <c r="K10" s="120"/>
      <c r="L10" s="120"/>
    </row>
    <row r="11" spans="2:12" x14ac:dyDescent="0.2">
      <c r="B11" s="135" t="s">
        <v>327</v>
      </c>
      <c r="C11" s="136">
        <f>D11-10000</f>
        <v>-36962</v>
      </c>
      <c r="D11" s="136">
        <f>'Reserves reconciliation'!$B$15</f>
        <v>-26962</v>
      </c>
      <c r="E11" s="136">
        <f>D11+15000</f>
        <v>-11962</v>
      </c>
      <c r="F11" s="136"/>
      <c r="G11" s="136">
        <f>C11</f>
        <v>-36962</v>
      </c>
      <c r="H11" s="136">
        <f>D11</f>
        <v>-26962</v>
      </c>
      <c r="I11" s="136">
        <f>E11</f>
        <v>-11962</v>
      </c>
      <c r="J11" s="120"/>
      <c r="K11" s="120"/>
      <c r="L11" s="120"/>
    </row>
    <row r="12" spans="2:12" x14ac:dyDescent="0.2">
      <c r="C12" s="120"/>
      <c r="D12" s="120"/>
      <c r="E12" s="120"/>
      <c r="F12" s="120"/>
      <c r="G12" s="120"/>
      <c r="H12" s="120"/>
      <c r="I12" s="120"/>
      <c r="J12" s="120"/>
      <c r="K12" s="120"/>
      <c r="L12" s="120"/>
    </row>
    <row r="13" spans="2:12" x14ac:dyDescent="0.2">
      <c r="B13" s="119" t="s">
        <v>418</v>
      </c>
      <c r="C13" s="120">
        <v>0</v>
      </c>
      <c r="D13" s="120">
        <v>0</v>
      </c>
      <c r="E13" s="120">
        <v>0</v>
      </c>
      <c r="F13" s="120"/>
      <c r="G13" s="120">
        <v>200000</v>
      </c>
      <c r="H13" s="120">
        <v>200000</v>
      </c>
      <c r="I13" s="120">
        <v>200000</v>
      </c>
      <c r="J13" s="120"/>
      <c r="K13" s="120"/>
      <c r="L13" s="120"/>
    </row>
    <row r="14" spans="2:12" x14ac:dyDescent="0.2">
      <c r="B14" s="119" t="s">
        <v>419</v>
      </c>
      <c r="C14" s="120">
        <v>0</v>
      </c>
      <c r="D14" s="120">
        <v>0</v>
      </c>
      <c r="E14" s="120">
        <v>0</v>
      </c>
      <c r="F14" s="120"/>
      <c r="G14" s="120">
        <v>-130000</v>
      </c>
      <c r="H14" s="120">
        <v>-130000</v>
      </c>
      <c r="I14" s="120">
        <v>-130000</v>
      </c>
      <c r="J14" s="120"/>
      <c r="K14" s="120"/>
      <c r="L14" s="120"/>
    </row>
    <row r="15" spans="2:12" x14ac:dyDescent="0.2">
      <c r="B15" s="119" t="s">
        <v>420</v>
      </c>
      <c r="C15" s="120">
        <v>0</v>
      </c>
      <c r="D15" s="120">
        <v>0</v>
      </c>
      <c r="E15" s="120">
        <v>0</v>
      </c>
      <c r="F15" s="120"/>
      <c r="G15" s="120">
        <v>-70000</v>
      </c>
      <c r="H15" s="120">
        <v>-70000</v>
      </c>
      <c r="I15" s="120">
        <v>-70000</v>
      </c>
      <c r="J15" s="120"/>
      <c r="K15" s="120"/>
      <c r="L15" s="120"/>
    </row>
    <row r="16" spans="2:12" x14ac:dyDescent="0.2">
      <c r="C16" s="120"/>
      <c r="D16" s="120"/>
      <c r="E16" s="120"/>
      <c r="F16" s="120"/>
      <c r="G16" s="120"/>
      <c r="H16" s="120"/>
      <c r="I16" s="120"/>
      <c r="J16" s="120"/>
      <c r="K16" s="120"/>
      <c r="L16" s="120"/>
    </row>
    <row r="17" spans="2:12" x14ac:dyDescent="0.2">
      <c r="B17" s="119" t="s">
        <v>330</v>
      </c>
      <c r="C17" s="120">
        <f>C11+C13+C14+C15</f>
        <v>-36962</v>
      </c>
      <c r="D17" s="120">
        <f>D11+D13+D14+D15</f>
        <v>-26962</v>
      </c>
      <c r="E17" s="120">
        <f>E11+E13+E14+E15</f>
        <v>-11962</v>
      </c>
      <c r="F17" s="120"/>
      <c r="G17" s="120">
        <f>G11+G13+G14+G15</f>
        <v>-36962</v>
      </c>
      <c r="H17" s="120">
        <f>H11+H13+H14+H15</f>
        <v>-26962</v>
      </c>
      <c r="I17" s="120">
        <f>I11+I13+I14+I15</f>
        <v>-11962</v>
      </c>
      <c r="J17" s="120"/>
      <c r="K17" s="120"/>
      <c r="L17" s="120"/>
    </row>
    <row r="18" spans="2:12" x14ac:dyDescent="0.2">
      <c r="C18" s="120"/>
      <c r="D18" s="120"/>
      <c r="E18" s="120"/>
      <c r="F18" s="120"/>
      <c r="G18" s="120"/>
      <c r="H18" s="120"/>
      <c r="I18" s="120"/>
      <c r="J18" s="120"/>
      <c r="K18" s="120"/>
      <c r="L18" s="120"/>
    </row>
    <row r="19" spans="2:12" ht="15" x14ac:dyDescent="0.25">
      <c r="B19" s="121" t="s">
        <v>339</v>
      </c>
      <c r="C19" s="133">
        <f>C9+C17</f>
        <v>39908.000000000015</v>
      </c>
      <c r="D19" s="133">
        <f>D9+D17</f>
        <v>49908.000000000015</v>
      </c>
      <c r="E19" s="133">
        <f>E9+E17</f>
        <v>64908.000000000015</v>
      </c>
      <c r="F19" s="133"/>
      <c r="G19" s="133">
        <f>G9+G17</f>
        <v>39908.000000000015</v>
      </c>
      <c r="H19" s="133">
        <f>H9+H17</f>
        <v>49908.000000000015</v>
      </c>
      <c r="I19" s="133">
        <f>I9+I17</f>
        <v>64908.000000000015</v>
      </c>
      <c r="J19" s="120"/>
      <c r="K19" s="120"/>
      <c r="L19" s="120"/>
    </row>
    <row r="20" spans="2:12" x14ac:dyDescent="0.2">
      <c r="C20" s="120"/>
      <c r="D20" s="120"/>
      <c r="E20" s="120"/>
      <c r="F20" s="120"/>
      <c r="G20" s="120"/>
      <c r="H20" s="120"/>
      <c r="I20" s="120"/>
      <c r="J20" s="120"/>
      <c r="K20" s="120"/>
      <c r="L20" s="120"/>
    </row>
    <row r="21" spans="2:12" ht="15" x14ac:dyDescent="0.25">
      <c r="B21" s="134" t="s">
        <v>328</v>
      </c>
      <c r="C21" s="120"/>
      <c r="D21" s="120"/>
      <c r="E21" s="120"/>
      <c r="F21" s="120"/>
      <c r="G21" s="120"/>
      <c r="H21" s="120"/>
      <c r="I21" s="120"/>
      <c r="J21" s="120"/>
      <c r="K21" s="120"/>
      <c r="L21" s="120"/>
    </row>
    <row r="22" spans="2:12" x14ac:dyDescent="0.2">
      <c r="C22" s="120"/>
      <c r="D22" s="120"/>
      <c r="E22" s="120"/>
      <c r="F22" s="120"/>
      <c r="G22" s="120"/>
      <c r="H22" s="120"/>
      <c r="I22" s="120"/>
      <c r="J22" s="120"/>
      <c r="K22" s="120"/>
      <c r="L22" s="120"/>
    </row>
    <row r="23" spans="2:12" x14ac:dyDescent="0.2">
      <c r="B23" s="135" t="s">
        <v>138</v>
      </c>
      <c r="C23" s="136">
        <v>250000</v>
      </c>
      <c r="D23" s="136">
        <f>'Budget 25 Summary P&amp;L'!$F$16</f>
        <v>274854.45828000002</v>
      </c>
      <c r="E23" s="136">
        <v>280000</v>
      </c>
      <c r="F23" s="136"/>
      <c r="G23" s="136">
        <f t="shared" ref="G23:G28" si="0">C23</f>
        <v>250000</v>
      </c>
      <c r="H23" s="136">
        <f t="shared" ref="H23:H28" si="1">D23</f>
        <v>274854.45828000002</v>
      </c>
      <c r="I23" s="136">
        <f t="shared" ref="I23:I28" si="2">E23</f>
        <v>280000</v>
      </c>
      <c r="J23" s="120"/>
      <c r="K23" s="120"/>
      <c r="L23" s="120"/>
    </row>
    <row r="24" spans="2:12" x14ac:dyDescent="0.2">
      <c r="B24" s="119" t="s">
        <v>136</v>
      </c>
      <c r="C24" s="120" t="e">
        <f>D24</f>
        <v>#REF!</v>
      </c>
      <c r="D24" s="120" t="e">
        <f>'Budget 25 Summary P&amp;L'!#REF!</f>
        <v>#REF!</v>
      </c>
      <c r="E24" s="120" t="e">
        <f>D24</f>
        <v>#REF!</v>
      </c>
      <c r="F24" s="120"/>
      <c r="G24" s="120" t="e">
        <f t="shared" si="0"/>
        <v>#REF!</v>
      </c>
      <c r="H24" s="120" t="e">
        <f t="shared" si="1"/>
        <v>#REF!</v>
      </c>
      <c r="I24" s="120" t="e">
        <f t="shared" si="2"/>
        <v>#REF!</v>
      </c>
      <c r="J24" s="120"/>
      <c r="K24" s="120"/>
      <c r="L24" s="120"/>
    </row>
    <row r="25" spans="2:12" x14ac:dyDescent="0.2">
      <c r="B25" s="119" t="s">
        <v>134</v>
      </c>
      <c r="C25" s="120">
        <f>D25</f>
        <v>-70000</v>
      </c>
      <c r="D25" s="120">
        <f>'Budget 25 Summary P&amp;L'!$J$16</f>
        <v>-70000</v>
      </c>
      <c r="E25" s="120">
        <f>D25</f>
        <v>-70000</v>
      </c>
      <c r="F25" s="120"/>
      <c r="G25" s="120">
        <f t="shared" si="0"/>
        <v>-70000</v>
      </c>
      <c r="H25" s="120">
        <f t="shared" si="1"/>
        <v>-70000</v>
      </c>
      <c r="I25" s="120">
        <f t="shared" si="2"/>
        <v>-70000</v>
      </c>
      <c r="J25" s="120"/>
      <c r="K25" s="120"/>
      <c r="L25" s="120"/>
    </row>
    <row r="26" spans="2:12" x14ac:dyDescent="0.2">
      <c r="B26" s="119" t="s">
        <v>139</v>
      </c>
      <c r="C26" s="120">
        <f>D26</f>
        <v>-48050</v>
      </c>
      <c r="D26" s="120">
        <f>'Budget 25 Summary P&amp;L'!$H$16</f>
        <v>-48050</v>
      </c>
      <c r="E26" s="120">
        <f>D26</f>
        <v>-48050</v>
      </c>
      <c r="F26" s="120"/>
      <c r="G26" s="120">
        <f t="shared" si="0"/>
        <v>-48050</v>
      </c>
      <c r="H26" s="120">
        <f t="shared" si="1"/>
        <v>-48050</v>
      </c>
      <c r="I26" s="120">
        <f t="shared" si="2"/>
        <v>-48050</v>
      </c>
      <c r="J26" s="120"/>
      <c r="K26" s="120"/>
      <c r="L26" s="120"/>
    </row>
    <row r="27" spans="2:12" x14ac:dyDescent="0.2">
      <c r="B27" s="119" t="s">
        <v>135</v>
      </c>
      <c r="C27" s="120">
        <f>D27</f>
        <v>0</v>
      </c>
      <c r="D27" s="120">
        <f>'Budget 25 Summary P&amp;L'!$I$16</f>
        <v>0</v>
      </c>
      <c r="E27" s="120">
        <f>D27</f>
        <v>0</v>
      </c>
      <c r="F27" s="120"/>
      <c r="G27" s="120">
        <f t="shared" si="0"/>
        <v>0</v>
      </c>
      <c r="H27" s="120">
        <f t="shared" si="1"/>
        <v>0</v>
      </c>
      <c r="I27" s="120">
        <f t="shared" si="2"/>
        <v>0</v>
      </c>
      <c r="J27" s="120"/>
      <c r="K27" s="120"/>
      <c r="L27" s="120"/>
    </row>
    <row r="28" spans="2:12" x14ac:dyDescent="0.2">
      <c r="B28" s="119" t="s">
        <v>137</v>
      </c>
      <c r="C28" s="120">
        <f>D28</f>
        <v>-12500</v>
      </c>
      <c r="D28" s="120">
        <f>'Budget 25 Summary P&amp;L'!$K$16</f>
        <v>-12500</v>
      </c>
      <c r="E28" s="120">
        <f>D28</f>
        <v>-12500</v>
      </c>
      <c r="F28" s="120"/>
      <c r="G28" s="120">
        <f t="shared" si="0"/>
        <v>-12500</v>
      </c>
      <c r="H28" s="120">
        <f t="shared" si="1"/>
        <v>-12500</v>
      </c>
      <c r="I28" s="120">
        <f t="shared" si="2"/>
        <v>-12500</v>
      </c>
      <c r="J28" s="120"/>
      <c r="K28" s="120"/>
      <c r="L28" s="120"/>
    </row>
    <row r="29" spans="2:12" x14ac:dyDescent="0.2">
      <c r="C29" s="120"/>
      <c r="D29" s="120"/>
      <c r="E29" s="120"/>
      <c r="F29" s="120"/>
      <c r="G29" s="120"/>
      <c r="H29" s="120"/>
      <c r="I29" s="120"/>
      <c r="J29" s="120"/>
      <c r="K29" s="120"/>
      <c r="L29" s="120"/>
    </row>
    <row r="30" spans="2:12" x14ac:dyDescent="0.2">
      <c r="B30" s="119" t="s">
        <v>329</v>
      </c>
      <c r="C30" s="120" t="e">
        <f>SUM(C23:C29)</f>
        <v>#REF!</v>
      </c>
      <c r="D30" s="120" t="e">
        <f>SUM(D23:D29)</f>
        <v>#REF!</v>
      </c>
      <c r="E30" s="120" t="e">
        <f>SUM(E23:E29)</f>
        <v>#REF!</v>
      </c>
      <c r="F30" s="120"/>
      <c r="G30" s="120" t="e">
        <f>SUM(G23:G29)</f>
        <v>#REF!</v>
      </c>
      <c r="H30" s="120" t="e">
        <f>SUM(H23:H29)</f>
        <v>#REF!</v>
      </c>
      <c r="I30" s="120" t="e">
        <f>SUM(I23:I29)</f>
        <v>#REF!</v>
      </c>
      <c r="J30" s="120"/>
      <c r="K30" s="120"/>
      <c r="L30" s="120"/>
    </row>
    <row r="31" spans="2:12" x14ac:dyDescent="0.2">
      <c r="C31" s="120"/>
      <c r="D31" s="120"/>
      <c r="E31" s="120"/>
      <c r="F31" s="120"/>
      <c r="G31" s="120"/>
      <c r="H31" s="120"/>
      <c r="I31" s="120"/>
      <c r="J31" s="120"/>
      <c r="K31" s="120"/>
      <c r="L31" s="120"/>
    </row>
    <row r="32" spans="2:12" x14ac:dyDescent="0.2">
      <c r="B32" s="119" t="s">
        <v>346</v>
      </c>
      <c r="C32" s="120">
        <v>0</v>
      </c>
      <c r="D32" s="120">
        <v>0</v>
      </c>
      <c r="E32" s="120">
        <v>0</v>
      </c>
      <c r="F32" s="120"/>
      <c r="G32" s="120">
        <v>300000</v>
      </c>
      <c r="H32" s="120">
        <v>300000</v>
      </c>
      <c r="I32" s="120">
        <v>300000</v>
      </c>
      <c r="J32" s="120"/>
      <c r="K32" s="120"/>
      <c r="L32" s="120"/>
    </row>
    <row r="33" spans="2:12" x14ac:dyDescent="0.2">
      <c r="B33" s="119" t="s">
        <v>347</v>
      </c>
      <c r="C33" s="120">
        <v>0</v>
      </c>
      <c r="D33" s="120">
        <v>0</v>
      </c>
      <c r="E33" s="120">
        <v>0</v>
      </c>
      <c r="F33" s="120"/>
      <c r="G33" s="120">
        <v>-230000</v>
      </c>
      <c r="H33" s="120">
        <v>-230000</v>
      </c>
      <c r="I33" s="120">
        <v>-230000</v>
      </c>
      <c r="J33" s="120"/>
      <c r="K33" s="120"/>
      <c r="L33" s="120"/>
    </row>
    <row r="34" spans="2:12" x14ac:dyDescent="0.2">
      <c r="B34" s="119" t="s">
        <v>348</v>
      </c>
      <c r="C34" s="120">
        <v>0</v>
      </c>
      <c r="D34" s="120">
        <v>0</v>
      </c>
      <c r="E34" s="120">
        <v>0</v>
      </c>
      <c r="F34" s="120"/>
      <c r="G34" s="120">
        <v>-70000</v>
      </c>
      <c r="H34" s="120">
        <v>-70000</v>
      </c>
      <c r="I34" s="120">
        <v>-70000</v>
      </c>
      <c r="J34" s="120"/>
      <c r="K34" s="120"/>
      <c r="L34" s="120"/>
    </row>
    <row r="35" spans="2:12" x14ac:dyDescent="0.2">
      <c r="C35" s="120"/>
      <c r="D35" s="120"/>
      <c r="E35" s="120"/>
      <c r="F35" s="120"/>
      <c r="G35" s="120"/>
      <c r="H35" s="120"/>
      <c r="I35" s="120"/>
      <c r="J35" s="120"/>
      <c r="K35" s="120"/>
      <c r="L35" s="120"/>
    </row>
    <row r="36" spans="2:12" x14ac:dyDescent="0.2">
      <c r="B36" s="119" t="s">
        <v>330</v>
      </c>
      <c r="C36" s="120" t="e">
        <f>C30+C32+C33+C34</f>
        <v>#REF!</v>
      </c>
      <c r="D36" s="120" t="e">
        <f>D30+D32+D33+D34</f>
        <v>#REF!</v>
      </c>
      <c r="E36" s="120" t="e">
        <f>E30+E32+E33+E34</f>
        <v>#REF!</v>
      </c>
      <c r="F36" s="120"/>
      <c r="G36" s="120" t="e">
        <f>G30+G32+G33+G34</f>
        <v>#REF!</v>
      </c>
      <c r="H36" s="120" t="e">
        <f>H30+H32+H33+H34</f>
        <v>#REF!</v>
      </c>
      <c r="I36" s="120" t="e">
        <f>I30+I32+I33+I34</f>
        <v>#REF!</v>
      </c>
      <c r="J36" s="120"/>
      <c r="K36" s="120"/>
      <c r="L36" s="120"/>
    </row>
    <row r="37" spans="2:12" x14ac:dyDescent="0.2">
      <c r="C37" s="120"/>
      <c r="D37" s="120"/>
      <c r="E37" s="120"/>
      <c r="F37" s="120"/>
      <c r="G37" s="120"/>
      <c r="H37" s="120"/>
      <c r="I37" s="120"/>
      <c r="J37" s="120"/>
      <c r="K37" s="120"/>
      <c r="L37" s="120"/>
    </row>
    <row r="38" spans="2:12" ht="15" x14ac:dyDescent="0.25">
      <c r="B38" s="121" t="s">
        <v>331</v>
      </c>
      <c r="C38" s="133" t="e">
        <f>C36+C19</f>
        <v>#REF!</v>
      </c>
      <c r="D38" s="133" t="e">
        <f>D36+D19</f>
        <v>#REF!</v>
      </c>
      <c r="E38" s="133" t="e">
        <f>E36+E19</f>
        <v>#REF!</v>
      </c>
      <c r="F38" s="133"/>
      <c r="G38" s="133" t="e">
        <f>G36+G19</f>
        <v>#REF!</v>
      </c>
      <c r="H38" s="133" t="e">
        <f>H36+H19</f>
        <v>#REF!</v>
      </c>
      <c r="I38" s="133" t="e">
        <f>I36+I19</f>
        <v>#REF!</v>
      </c>
      <c r="J38" s="120"/>
      <c r="K38" s="120"/>
      <c r="L38" s="120"/>
    </row>
    <row r="39" spans="2:12" x14ac:dyDescent="0.2">
      <c r="C39" s="120"/>
      <c r="D39" s="120"/>
      <c r="E39" s="120"/>
      <c r="F39" s="120"/>
      <c r="G39" s="120"/>
      <c r="H39" s="120"/>
      <c r="I39" s="120"/>
      <c r="J39" s="120"/>
      <c r="K39" s="120"/>
      <c r="L39" s="120"/>
    </row>
    <row r="41" spans="2:12" hidden="1" x14ac:dyDescent="0.2">
      <c r="B41" s="119" t="s">
        <v>207</v>
      </c>
    </row>
    <row r="42" spans="2:12" hidden="1" x14ac:dyDescent="0.2">
      <c r="B42" s="119" t="s">
        <v>341</v>
      </c>
    </row>
  </sheetData>
  <mergeCells count="2">
    <mergeCell ref="C3:E3"/>
    <mergeCell ref="G3:I3"/>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65DF-376E-4BB2-BCBE-3E6F27C7FDB0}">
  <sheetPr>
    <pageSetUpPr fitToPage="1"/>
  </sheetPr>
  <dimension ref="A1:Q44"/>
  <sheetViews>
    <sheetView zoomScaleNormal="100" workbookViewId="0">
      <selection sqref="A1:XFD1048576"/>
    </sheetView>
  </sheetViews>
  <sheetFormatPr defaultRowHeight="12" x14ac:dyDescent="0.2"/>
  <cols>
    <col min="1" max="1" width="3.85546875" customWidth="1"/>
    <col min="2" max="2" width="25.85546875" customWidth="1"/>
    <col min="3" max="3" width="1.7109375" customWidth="1"/>
    <col min="4" max="4" width="11" bestFit="1" customWidth="1"/>
    <col min="5" max="5" width="1.7109375" customWidth="1"/>
    <col min="6" max="6" width="11" bestFit="1" customWidth="1"/>
    <col min="7" max="7" width="11" customWidth="1"/>
    <col min="8" max="8" width="11" bestFit="1" customWidth="1"/>
    <col min="9" max="9" width="10" bestFit="1" customWidth="1"/>
    <col min="10" max="10" width="10.7109375" bestFit="1" customWidth="1"/>
    <col min="11" max="11" width="9" bestFit="1" customWidth="1"/>
    <col min="12" max="14" width="11" hidden="1" customWidth="1"/>
    <col min="15" max="15" width="10.7109375" hidden="1" customWidth="1"/>
    <col min="16" max="16" width="0" hidden="1" customWidth="1"/>
    <col min="17" max="17" width="19.7109375" hidden="1" customWidth="1"/>
  </cols>
  <sheetData>
    <row r="1" spans="1:17" ht="20.25" thickBot="1" x14ac:dyDescent="0.45">
      <c r="B1" s="69" t="s">
        <v>616</v>
      </c>
      <c r="C1" s="71"/>
      <c r="D1" s="71"/>
      <c r="E1" s="71"/>
      <c r="F1" s="71"/>
      <c r="G1" s="71"/>
      <c r="H1" s="71"/>
      <c r="I1" s="71"/>
      <c r="J1" s="71"/>
      <c r="K1" s="71"/>
      <c r="L1" s="71"/>
      <c r="M1" s="71"/>
      <c r="N1" s="71"/>
      <c r="O1" s="71"/>
      <c r="P1" s="71"/>
      <c r="Q1" s="71"/>
    </row>
    <row r="3" spans="1:17" x14ac:dyDescent="0.2">
      <c r="A3" s="13"/>
      <c r="D3" s="22" t="s">
        <v>148</v>
      </c>
      <c r="E3" s="23"/>
      <c r="F3" s="22" t="s">
        <v>138</v>
      </c>
      <c r="G3" s="22" t="s">
        <v>136</v>
      </c>
      <c r="H3" s="22" t="s">
        <v>139</v>
      </c>
      <c r="I3" s="22" t="s">
        <v>135</v>
      </c>
      <c r="J3" s="22" t="s">
        <v>134</v>
      </c>
      <c r="K3" s="22" t="s">
        <v>137</v>
      </c>
      <c r="M3" s="22" t="s">
        <v>555</v>
      </c>
      <c r="N3" s="22" t="s">
        <v>351</v>
      </c>
      <c r="O3" s="22" t="s">
        <v>149</v>
      </c>
      <c r="Q3" s="22" t="s">
        <v>556</v>
      </c>
    </row>
    <row r="4" spans="1:17" x14ac:dyDescent="0.2">
      <c r="A4" s="13"/>
    </row>
    <row r="5" spans="1:17" x14ac:dyDescent="0.2">
      <c r="A5" s="13"/>
      <c r="B5" s="13" t="s">
        <v>143</v>
      </c>
      <c r="C5" s="13"/>
      <c r="D5" s="14">
        <v>428016</v>
      </c>
      <c r="E5" s="14"/>
      <c r="F5" s="15">
        <v>281400</v>
      </c>
      <c r="G5" s="15">
        <v>0</v>
      </c>
      <c r="H5" s="15">
        <v>131616</v>
      </c>
      <c r="I5" s="15">
        <v>15000</v>
      </c>
      <c r="J5" s="15">
        <v>0</v>
      </c>
      <c r="K5" s="15">
        <v>0</v>
      </c>
      <c r="M5" s="15"/>
      <c r="N5" s="15"/>
      <c r="O5" s="15">
        <v>0</v>
      </c>
      <c r="Q5" s="17">
        <v>281400</v>
      </c>
    </row>
    <row r="6" spans="1:17" x14ac:dyDescent="0.2">
      <c r="A6" s="13"/>
      <c r="B6" s="13" t="s">
        <v>144</v>
      </c>
      <c r="C6" s="13"/>
      <c r="D6" s="14">
        <v>-314106</v>
      </c>
      <c r="E6" s="16"/>
      <c r="F6" s="15">
        <v>-42000</v>
      </c>
      <c r="G6" s="15">
        <v>-2500</v>
      </c>
      <c r="H6" s="15">
        <v>-177106</v>
      </c>
      <c r="I6" s="15">
        <v>-14500</v>
      </c>
      <c r="J6" s="15">
        <v>-65500</v>
      </c>
      <c r="K6" s="15">
        <v>-12500</v>
      </c>
      <c r="M6" s="15"/>
      <c r="N6" s="15"/>
      <c r="O6" s="15">
        <v>0</v>
      </c>
      <c r="Q6" s="17">
        <v>-44500</v>
      </c>
    </row>
    <row r="7" spans="1:17" x14ac:dyDescent="0.2">
      <c r="A7" s="13"/>
      <c r="D7" s="17"/>
      <c r="E7" s="17"/>
      <c r="F7" s="17"/>
      <c r="G7" s="17"/>
      <c r="H7" s="17"/>
      <c r="I7" s="17"/>
      <c r="J7" s="17"/>
      <c r="K7" s="17"/>
      <c r="M7" s="17"/>
      <c r="N7" s="17"/>
      <c r="O7" s="17"/>
    </row>
    <row r="8" spans="1:17" x14ac:dyDescent="0.2">
      <c r="A8" s="13"/>
      <c r="B8" s="18" t="s">
        <v>99</v>
      </c>
      <c r="C8" s="18"/>
      <c r="D8" s="19">
        <v>113910</v>
      </c>
      <c r="E8" s="19"/>
      <c r="F8" s="19">
        <v>239400</v>
      </c>
      <c r="G8" s="19">
        <v>-2500</v>
      </c>
      <c r="H8" s="19">
        <v>-45490</v>
      </c>
      <c r="I8" s="19">
        <v>500</v>
      </c>
      <c r="J8" s="19">
        <v>-65500</v>
      </c>
      <c r="K8" s="19">
        <v>-12500</v>
      </c>
      <c r="M8" s="19"/>
      <c r="N8" s="19"/>
      <c r="O8" s="19">
        <v>0</v>
      </c>
      <c r="Q8" s="19">
        <v>236900</v>
      </c>
    </row>
    <row r="9" spans="1:17" x14ac:dyDescent="0.2">
      <c r="D9" s="17"/>
      <c r="E9" s="17"/>
      <c r="F9" s="17"/>
      <c r="G9" s="17"/>
      <c r="H9" s="17"/>
      <c r="I9" s="17"/>
      <c r="J9" s="17"/>
      <c r="K9" s="17"/>
      <c r="M9" s="17"/>
      <c r="N9" s="17"/>
      <c r="O9" s="17"/>
    </row>
    <row r="10" spans="1:17" x14ac:dyDescent="0.2">
      <c r="B10" s="13" t="s">
        <v>145</v>
      </c>
      <c r="C10" s="13"/>
      <c r="D10" s="14">
        <v>-143722</v>
      </c>
      <c r="E10" s="16"/>
      <c r="F10" s="15">
        <v>0</v>
      </c>
      <c r="G10" s="15">
        <v>-143722</v>
      </c>
      <c r="H10" s="15">
        <v>0</v>
      </c>
      <c r="I10" s="15">
        <v>0</v>
      </c>
      <c r="J10" s="15">
        <v>0</v>
      </c>
      <c r="K10" s="15">
        <v>0</v>
      </c>
      <c r="M10" s="15"/>
      <c r="N10" s="15"/>
      <c r="O10" s="15">
        <v>0</v>
      </c>
      <c r="Q10" s="17">
        <v>-143722</v>
      </c>
    </row>
    <row r="11" spans="1:17" x14ac:dyDescent="0.2">
      <c r="D11" s="17"/>
      <c r="E11" s="17"/>
      <c r="F11" s="17"/>
      <c r="G11" s="17"/>
      <c r="H11" s="17"/>
      <c r="I11" s="17"/>
      <c r="J11" s="17"/>
      <c r="K11" s="17"/>
      <c r="M11" s="17"/>
      <c r="N11" s="17"/>
      <c r="O11" s="17"/>
    </row>
    <row r="12" spans="1:17" x14ac:dyDescent="0.2">
      <c r="B12" s="18" t="s">
        <v>120</v>
      </c>
      <c r="C12" s="18"/>
      <c r="D12" s="19">
        <v>-29812</v>
      </c>
      <c r="E12" s="19"/>
      <c r="F12" s="19">
        <v>239400</v>
      </c>
      <c r="G12" s="19">
        <v>-146222</v>
      </c>
      <c r="H12" s="19">
        <v>-45490</v>
      </c>
      <c r="I12" s="19">
        <v>500</v>
      </c>
      <c r="J12" s="19">
        <v>-65500</v>
      </c>
      <c r="K12" s="19">
        <v>-12500</v>
      </c>
      <c r="M12" s="19"/>
      <c r="N12" s="19"/>
      <c r="O12" s="19">
        <v>0</v>
      </c>
      <c r="Q12" s="19">
        <v>93178</v>
      </c>
    </row>
    <row r="13" spans="1:17" x14ac:dyDescent="0.2">
      <c r="D13" s="17"/>
      <c r="E13" s="17"/>
      <c r="F13" s="17"/>
      <c r="G13" s="17"/>
      <c r="H13" s="17"/>
      <c r="I13" s="17"/>
      <c r="J13" s="17"/>
      <c r="K13" s="17"/>
      <c r="M13" s="17"/>
      <c r="N13" s="17"/>
      <c r="O13" s="17"/>
    </row>
    <row r="14" spans="1:17" x14ac:dyDescent="0.2">
      <c r="B14" s="13" t="s">
        <v>146</v>
      </c>
      <c r="C14" s="13"/>
      <c r="D14" s="14">
        <v>3850</v>
      </c>
      <c r="E14" s="16"/>
      <c r="F14" s="15">
        <v>0</v>
      </c>
      <c r="G14" s="15">
        <v>2850</v>
      </c>
      <c r="H14" s="15">
        <v>1000</v>
      </c>
      <c r="I14" s="15">
        <v>0</v>
      </c>
      <c r="J14" s="15">
        <v>0</v>
      </c>
      <c r="K14" s="15">
        <v>0</v>
      </c>
      <c r="M14" s="15"/>
      <c r="N14" s="15"/>
      <c r="O14" s="15">
        <v>0</v>
      </c>
      <c r="Q14" s="17">
        <v>2850</v>
      </c>
    </row>
    <row r="15" spans="1:17" x14ac:dyDescent="0.2">
      <c r="D15" s="17"/>
      <c r="E15" s="17"/>
      <c r="F15" s="17"/>
      <c r="G15" s="17"/>
      <c r="H15" s="17"/>
      <c r="I15" s="17"/>
      <c r="J15" s="17"/>
      <c r="K15" s="17"/>
      <c r="M15" s="17"/>
      <c r="N15" s="17"/>
      <c r="O15" s="17"/>
    </row>
    <row r="16" spans="1:17" ht="12.75" thickBot="1" x14ac:dyDescent="0.25">
      <c r="B16" s="20" t="s">
        <v>147</v>
      </c>
      <c r="C16" s="20"/>
      <c r="D16" s="21">
        <v>-25962</v>
      </c>
      <c r="E16" s="21"/>
      <c r="F16" s="21">
        <v>239400</v>
      </c>
      <c r="G16" s="21">
        <v>-143372</v>
      </c>
      <c r="H16" s="21">
        <v>-44490</v>
      </c>
      <c r="I16" s="21">
        <v>500</v>
      </c>
      <c r="J16" s="21">
        <v>-65500</v>
      </c>
      <c r="K16" s="21">
        <v>-12500</v>
      </c>
      <c r="M16" s="21"/>
      <c r="N16" s="21"/>
      <c r="O16" s="21">
        <v>0</v>
      </c>
      <c r="Q16" s="21">
        <v>96028</v>
      </c>
    </row>
    <row r="17" spans="2:17" ht="12.75" thickTop="1" x14ac:dyDescent="0.2"/>
    <row r="18" spans="2:17" x14ac:dyDescent="0.2">
      <c r="B18" t="s">
        <v>349</v>
      </c>
      <c r="D18" s="14">
        <v>325000</v>
      </c>
      <c r="E18" s="16"/>
      <c r="F18" s="15"/>
      <c r="G18" s="15"/>
      <c r="H18" s="15"/>
      <c r="I18" s="15"/>
      <c r="J18" s="15"/>
      <c r="K18" s="15"/>
      <c r="M18" s="15"/>
      <c r="N18" s="15"/>
      <c r="O18" s="15"/>
      <c r="Q18" s="17">
        <v>0</v>
      </c>
    </row>
    <row r="19" spans="2:17" x14ac:dyDescent="0.2">
      <c r="B19" t="s">
        <v>557</v>
      </c>
      <c r="D19" s="14">
        <v>-185000</v>
      </c>
      <c r="E19" s="16"/>
      <c r="F19" s="15"/>
      <c r="G19" s="15"/>
      <c r="H19" s="15"/>
      <c r="I19" s="15"/>
      <c r="J19" s="15"/>
      <c r="K19" s="15"/>
      <c r="M19" s="15"/>
      <c r="N19" s="15"/>
      <c r="O19" s="15"/>
      <c r="Q19" s="17">
        <v>0</v>
      </c>
    </row>
    <row r="20" spans="2:17" x14ac:dyDescent="0.2">
      <c r="D20" s="14"/>
      <c r="E20" s="16"/>
      <c r="F20" s="15"/>
      <c r="G20" s="15"/>
      <c r="H20" s="15"/>
      <c r="I20" s="15"/>
      <c r="J20" s="15"/>
      <c r="K20" s="15"/>
      <c r="M20" s="15"/>
      <c r="N20" s="15"/>
      <c r="O20" s="15"/>
      <c r="Q20" s="17"/>
    </row>
    <row r="21" spans="2:17" x14ac:dyDescent="0.2">
      <c r="B21" t="s">
        <v>558</v>
      </c>
      <c r="D21" s="14">
        <v>-140000</v>
      </c>
      <c r="E21" s="16"/>
      <c r="F21" s="15"/>
      <c r="G21" s="15"/>
      <c r="H21" s="15"/>
      <c r="I21" s="15"/>
      <c r="J21" s="15"/>
      <c r="K21" s="15"/>
      <c r="M21" s="15"/>
      <c r="N21" s="15"/>
      <c r="O21" s="15"/>
      <c r="Q21" s="17"/>
    </row>
    <row r="23" spans="2:17" ht="12.75" thickBot="1" x14ac:dyDescent="0.25">
      <c r="B23" s="20" t="s">
        <v>147</v>
      </c>
      <c r="C23" s="20"/>
      <c r="D23" s="21">
        <v>-25962</v>
      </c>
      <c r="E23" s="21"/>
      <c r="F23" s="21">
        <v>239400</v>
      </c>
      <c r="G23" s="21">
        <v>-143372</v>
      </c>
      <c r="H23" s="21">
        <v>-44490</v>
      </c>
      <c r="I23" s="21">
        <v>500</v>
      </c>
      <c r="J23" s="21">
        <v>-65500</v>
      </c>
      <c r="K23" s="21">
        <v>-12500</v>
      </c>
      <c r="M23" s="21">
        <v>0</v>
      </c>
      <c r="N23" s="21">
        <v>0</v>
      </c>
      <c r="O23" s="21">
        <v>0</v>
      </c>
      <c r="Q23" s="21">
        <v>0</v>
      </c>
    </row>
    <row r="24" spans="2:17" ht="12.75" thickTop="1" x14ac:dyDescent="0.2"/>
    <row r="25" spans="2:17" hidden="1" x14ac:dyDescent="0.2">
      <c r="B25" s="68" t="s">
        <v>559</v>
      </c>
      <c r="C25" s="68"/>
      <c r="D25" s="68"/>
      <c r="E25" s="68"/>
      <c r="F25" s="68"/>
      <c r="G25" s="68"/>
      <c r="H25" s="87">
        <v>0.4633023701420419</v>
      </c>
      <c r="I25" s="87">
        <v>-5.2068146790519429E-3</v>
      </c>
      <c r="J25" s="87">
        <v>0.68209272295580459</v>
      </c>
      <c r="K25" s="87">
        <v>0.13017036697629858</v>
      </c>
      <c r="M25" s="68"/>
      <c r="N25" s="68"/>
      <c r="O25" s="68"/>
      <c r="P25" s="68"/>
      <c r="Q25" s="68"/>
    </row>
    <row r="26" spans="2:17" hidden="1" x14ac:dyDescent="0.2"/>
    <row r="27" spans="2:17" x14ac:dyDescent="0.2">
      <c r="B27" s="18" t="s">
        <v>560</v>
      </c>
      <c r="C27" s="18"/>
      <c r="D27" s="55">
        <v>-28264</v>
      </c>
      <c r="E27" s="18"/>
      <c r="F27" s="55">
        <v>238258</v>
      </c>
      <c r="G27" s="55">
        <v>-156972</v>
      </c>
      <c r="H27" s="55">
        <v>-30050</v>
      </c>
      <c r="I27" s="55">
        <v>-500</v>
      </c>
      <c r="J27" s="55">
        <v>-66500</v>
      </c>
      <c r="K27" s="55">
        <v>-12500</v>
      </c>
      <c r="M27" s="55"/>
      <c r="N27" s="55">
        <v>0</v>
      </c>
      <c r="O27" s="55"/>
      <c r="P27" s="18"/>
      <c r="Q27" s="19">
        <v>81286</v>
      </c>
    </row>
    <row r="28" spans="2:17" hidden="1" x14ac:dyDescent="0.2">
      <c r="B28" s="18"/>
      <c r="C28" s="18"/>
      <c r="D28" s="55"/>
      <c r="E28" s="18"/>
      <c r="F28" s="55"/>
      <c r="G28" s="55"/>
      <c r="H28" s="86">
        <v>0.36968235612528605</v>
      </c>
      <c r="I28" s="86">
        <v>6.1511207341977707E-3</v>
      </c>
      <c r="J28" s="86">
        <v>0.81809905764830348</v>
      </c>
      <c r="K28" s="86">
        <v>0.15377801835494426</v>
      </c>
      <c r="M28" s="55"/>
      <c r="N28" s="55"/>
      <c r="O28" s="55"/>
      <c r="P28" s="18"/>
      <c r="Q28" s="19"/>
    </row>
    <row r="30" spans="2:17" x14ac:dyDescent="0.2">
      <c r="B30" s="68" t="s">
        <v>561</v>
      </c>
      <c r="C30" s="68"/>
      <c r="D30" s="79">
        <v>2302</v>
      </c>
      <c r="E30" s="68"/>
      <c r="F30" s="79">
        <v>1142</v>
      </c>
      <c r="G30" s="79">
        <v>13600</v>
      </c>
      <c r="H30" s="79">
        <v>-14440</v>
      </c>
      <c r="I30" s="79">
        <v>1000</v>
      </c>
      <c r="J30" s="79">
        <v>1000</v>
      </c>
      <c r="K30" s="79">
        <v>0</v>
      </c>
      <c r="M30" s="79"/>
      <c r="N30" s="79">
        <v>0</v>
      </c>
      <c r="O30" s="79">
        <v>0</v>
      </c>
      <c r="P30" s="68"/>
      <c r="Q30" s="79">
        <v>14742</v>
      </c>
    </row>
    <row r="31" spans="2:17" hidden="1" x14ac:dyDescent="0.2"/>
    <row r="32" spans="2:17" hidden="1" x14ac:dyDescent="0.2">
      <c r="B32" s="18" t="s">
        <v>562</v>
      </c>
      <c r="C32" s="18"/>
      <c r="D32" s="55">
        <v>-7351.0199999999604</v>
      </c>
      <c r="E32" s="18"/>
      <c r="F32" s="55">
        <v>206794.00000000003</v>
      </c>
      <c r="G32" s="55"/>
      <c r="H32" s="55">
        <v>-44661.549999999974</v>
      </c>
      <c r="I32" s="55">
        <v>6714.6099999999933</v>
      </c>
      <c r="J32" s="55">
        <v>-19545.63</v>
      </c>
      <c r="K32" s="55">
        <v>-12126.029999999999</v>
      </c>
      <c r="L32" s="55">
        <v>-144526.42000000001</v>
      </c>
      <c r="M32" s="55"/>
      <c r="N32" s="55">
        <v>0</v>
      </c>
      <c r="O32" s="55">
        <v>0</v>
      </c>
      <c r="P32" s="18"/>
      <c r="Q32" s="19">
        <v>62267.580000000016</v>
      </c>
    </row>
    <row r="33" spans="2:17" hidden="1" x14ac:dyDescent="0.2"/>
    <row r="34" spans="2:17" hidden="1" x14ac:dyDescent="0.2">
      <c r="B34" s="68" t="s">
        <v>563</v>
      </c>
      <c r="C34" s="68"/>
      <c r="D34" s="79">
        <v>-18610.980000000032</v>
      </c>
      <c r="E34" s="68"/>
      <c r="F34" s="79">
        <v>32605.999999999971</v>
      </c>
      <c r="G34" s="79"/>
      <c r="H34" s="79">
        <v>171.54999999997381</v>
      </c>
      <c r="I34" s="79">
        <v>-6214.6099999999933</v>
      </c>
      <c r="J34" s="79">
        <v>-45954.369999999995</v>
      </c>
      <c r="K34" s="79">
        <v>-373.97000000000116</v>
      </c>
      <c r="L34" s="79">
        <v>1154.4200000000128</v>
      </c>
      <c r="M34" s="79"/>
      <c r="N34" s="79">
        <v>0</v>
      </c>
      <c r="O34" s="79">
        <v>0</v>
      </c>
      <c r="P34" s="68"/>
      <c r="Q34" s="79">
        <v>33760.419999999984</v>
      </c>
    </row>
    <row r="37" spans="2:17" hidden="1" x14ac:dyDescent="0.2">
      <c r="B37" s="88" t="s">
        <v>203</v>
      </c>
    </row>
    <row r="38" spans="2:17" hidden="1" x14ac:dyDescent="0.2"/>
    <row r="39" spans="2:17" hidden="1" x14ac:dyDescent="0.2">
      <c r="B39" s="13" t="s">
        <v>204</v>
      </c>
    </row>
    <row r="40" spans="2:17" hidden="1" x14ac:dyDescent="0.2">
      <c r="B40" s="13" t="s">
        <v>209</v>
      </c>
    </row>
    <row r="41" spans="2:17" hidden="1" x14ac:dyDescent="0.2"/>
    <row r="42" spans="2:17" hidden="1" x14ac:dyDescent="0.2">
      <c r="B42" s="13"/>
      <c r="D42" s="17">
        <v>-28264</v>
      </c>
      <c r="F42" s="17">
        <v>238258</v>
      </c>
      <c r="G42" s="17"/>
      <c r="H42" s="17">
        <v>-25050</v>
      </c>
      <c r="I42" s="17">
        <v>-500</v>
      </c>
      <c r="J42" s="17">
        <v>-66500</v>
      </c>
      <c r="K42" s="17">
        <v>-12500</v>
      </c>
      <c r="L42" s="17">
        <v>-156972</v>
      </c>
      <c r="M42" s="17"/>
      <c r="N42" s="17"/>
      <c r="O42" s="17">
        <v>-5000</v>
      </c>
    </row>
    <row r="43" spans="2:17" hidden="1" x14ac:dyDescent="0.2">
      <c r="B43" s="13" t="s">
        <v>205</v>
      </c>
      <c r="D43" s="17">
        <v>0</v>
      </c>
      <c r="F43" s="17">
        <v>0</v>
      </c>
      <c r="G43" s="17"/>
      <c r="H43" s="17">
        <v>5000</v>
      </c>
      <c r="I43" s="17">
        <v>0</v>
      </c>
      <c r="J43" s="17">
        <v>0</v>
      </c>
      <c r="K43" s="17">
        <v>0</v>
      </c>
      <c r="L43" s="17">
        <v>0</v>
      </c>
      <c r="M43" s="17"/>
      <c r="N43" s="17"/>
      <c r="O43" s="17">
        <v>-5000</v>
      </c>
    </row>
    <row r="44" spans="2:17" x14ac:dyDescent="0.2">
      <c r="F44" s="17"/>
      <c r="G44" s="17"/>
      <c r="H44" s="17"/>
      <c r="I44" s="17"/>
      <c r="J44" s="17"/>
      <c r="K44" s="17"/>
      <c r="L44" s="17"/>
      <c r="M44" s="17"/>
      <c r="N44" s="17"/>
    </row>
  </sheetData>
  <pageMargins left="0.70866141732283472" right="0.708661417322834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8312-3214-4191-9F4F-46664BC9820A}">
  <sheetPr codeName="Sheet3">
    <pageSetUpPr fitToPage="1"/>
  </sheetPr>
  <dimension ref="A1:O45"/>
  <sheetViews>
    <sheetView zoomScaleNormal="100" workbookViewId="0">
      <selection sqref="A1:XFD1048576"/>
    </sheetView>
  </sheetViews>
  <sheetFormatPr defaultRowHeight="12" x14ac:dyDescent="0.2"/>
  <cols>
    <col min="1" max="1" width="3.85546875" customWidth="1"/>
    <col min="2" max="2" width="18.28515625" customWidth="1"/>
    <col min="3" max="3" width="1.7109375" customWidth="1"/>
    <col min="4" max="4" width="11" bestFit="1" customWidth="1"/>
    <col min="5" max="5" width="1.7109375" customWidth="1"/>
    <col min="6" max="6" width="11" bestFit="1" customWidth="1"/>
    <col min="7" max="7" width="11" customWidth="1"/>
    <col min="8" max="8" width="11" bestFit="1" customWidth="1"/>
    <col min="9" max="9" width="10" bestFit="1" customWidth="1"/>
    <col min="10" max="10" width="10.7109375" bestFit="1" customWidth="1"/>
    <col min="11" max="11" width="9" bestFit="1" customWidth="1"/>
    <col min="12" max="12" width="11" hidden="1" customWidth="1"/>
    <col min="13" max="13" width="10.7109375" hidden="1" customWidth="1"/>
    <col min="14" max="14" width="0" hidden="1" customWidth="1"/>
    <col min="15" max="15" width="19.7109375" hidden="1" customWidth="1"/>
    <col min="16" max="16" width="0" hidden="1" customWidth="1"/>
  </cols>
  <sheetData>
    <row r="1" spans="1:15" ht="20.25" thickBot="1" x14ac:dyDescent="0.45">
      <c r="B1" s="69" t="s">
        <v>549</v>
      </c>
      <c r="C1" s="71"/>
      <c r="D1" s="71"/>
      <c r="E1" s="71"/>
      <c r="F1" s="71"/>
      <c r="G1" s="71"/>
      <c r="H1" s="71"/>
      <c r="I1" s="71"/>
      <c r="J1" s="71"/>
      <c r="K1" s="71"/>
      <c r="L1" s="71"/>
      <c r="M1" s="71"/>
      <c r="N1" s="71"/>
      <c r="O1" s="71"/>
    </row>
    <row r="3" spans="1:15" ht="24.75" customHeight="1" x14ac:dyDescent="0.2">
      <c r="A3" s="13"/>
      <c r="D3" s="22" t="s">
        <v>148</v>
      </c>
      <c r="E3" s="23"/>
      <c r="F3" s="22" t="s">
        <v>138</v>
      </c>
      <c r="G3" s="22" t="s">
        <v>136</v>
      </c>
      <c r="H3" s="22" t="s">
        <v>139</v>
      </c>
      <c r="I3" s="22" t="s">
        <v>135</v>
      </c>
      <c r="J3" s="22" t="s">
        <v>134</v>
      </c>
      <c r="K3" s="22" t="s">
        <v>137</v>
      </c>
      <c r="L3" s="169" t="s">
        <v>444</v>
      </c>
      <c r="M3" s="22" t="s">
        <v>149</v>
      </c>
      <c r="O3" s="22" t="s">
        <v>551</v>
      </c>
    </row>
    <row r="4" spans="1:15" x14ac:dyDescent="0.2">
      <c r="A4" s="13"/>
    </row>
    <row r="5" spans="1:15" x14ac:dyDescent="0.2">
      <c r="A5" s="13"/>
      <c r="B5" s="13" t="s">
        <v>143</v>
      </c>
      <c r="C5" s="13"/>
      <c r="D5" s="14">
        <v>457954.45828000002</v>
      </c>
      <c r="E5" s="14"/>
      <c r="F5" s="15">
        <v>316104.45828000002</v>
      </c>
      <c r="G5" s="15">
        <v>0</v>
      </c>
      <c r="H5" s="15">
        <v>130850</v>
      </c>
      <c r="I5" s="15">
        <v>11000</v>
      </c>
      <c r="J5" s="15">
        <v>0</v>
      </c>
      <c r="K5" s="15">
        <v>0</v>
      </c>
      <c r="L5" s="15">
        <v>0</v>
      </c>
      <c r="M5" s="15">
        <v>0</v>
      </c>
      <c r="O5" s="17">
        <v>316104.45828000002</v>
      </c>
    </row>
    <row r="6" spans="1:15" x14ac:dyDescent="0.2">
      <c r="A6" s="13"/>
      <c r="B6" s="13" t="s">
        <v>144</v>
      </c>
      <c r="C6" s="13"/>
      <c r="D6" s="14">
        <v>-317150</v>
      </c>
      <c r="E6" s="16"/>
      <c r="F6" s="15">
        <v>-41250</v>
      </c>
      <c r="G6" s="15">
        <v>-2500</v>
      </c>
      <c r="H6" s="15">
        <v>-179900</v>
      </c>
      <c r="I6" s="15">
        <v>-11000</v>
      </c>
      <c r="J6" s="15">
        <v>-70000</v>
      </c>
      <c r="K6" s="15">
        <v>-12500</v>
      </c>
      <c r="L6" s="15">
        <v>0</v>
      </c>
      <c r="M6" s="15">
        <v>0</v>
      </c>
      <c r="O6" s="17">
        <v>-43750</v>
      </c>
    </row>
    <row r="7" spans="1:15" x14ac:dyDescent="0.2">
      <c r="A7" s="13"/>
      <c r="D7" s="17"/>
      <c r="E7" s="17"/>
      <c r="F7" s="17"/>
      <c r="G7" s="17"/>
      <c r="H7" s="17"/>
      <c r="I7" s="17"/>
      <c r="J7" s="17"/>
      <c r="K7" s="17"/>
      <c r="L7" s="17"/>
      <c r="M7" s="17"/>
    </row>
    <row r="8" spans="1:15" x14ac:dyDescent="0.2">
      <c r="A8" s="13"/>
      <c r="B8" s="18" t="s">
        <v>99</v>
      </c>
      <c r="C8" s="18"/>
      <c r="D8" s="19">
        <v>140804.45828000002</v>
      </c>
      <c r="E8" s="19"/>
      <c r="F8" s="19">
        <v>274854.45828000002</v>
      </c>
      <c r="G8" s="19">
        <v>-2500</v>
      </c>
      <c r="H8" s="19">
        <v>-49050</v>
      </c>
      <c r="I8" s="19">
        <v>0</v>
      </c>
      <c r="J8" s="19">
        <v>-70000</v>
      </c>
      <c r="K8" s="19">
        <v>-12500</v>
      </c>
      <c r="L8" s="19">
        <v>0</v>
      </c>
      <c r="M8" s="19">
        <v>0</v>
      </c>
      <c r="O8" s="19">
        <v>272354.45828000002</v>
      </c>
    </row>
    <row r="9" spans="1:15" x14ac:dyDescent="0.2">
      <c r="A9" s="13"/>
      <c r="B9" s="18"/>
      <c r="C9" s="18"/>
      <c r="D9" s="19"/>
      <c r="E9" s="19"/>
      <c r="F9" s="19"/>
      <c r="G9" s="19"/>
      <c r="H9" s="19"/>
      <c r="I9" s="19"/>
      <c r="J9" s="19"/>
      <c r="K9" s="19"/>
      <c r="L9" s="19"/>
      <c r="M9" s="19"/>
      <c r="O9" s="19"/>
    </row>
    <row r="10" spans="1:15" x14ac:dyDescent="0.2">
      <c r="B10" s="13" t="s">
        <v>145</v>
      </c>
      <c r="C10" s="13"/>
      <c r="D10" s="14">
        <v>-144896.44</v>
      </c>
      <c r="E10" s="16"/>
      <c r="F10" s="15">
        <v>0</v>
      </c>
      <c r="G10" s="15">
        <v>-144896.44</v>
      </c>
      <c r="H10" s="15">
        <v>0</v>
      </c>
      <c r="I10" s="15">
        <v>0</v>
      </c>
      <c r="J10" s="15">
        <v>0</v>
      </c>
      <c r="K10" s="15">
        <v>0</v>
      </c>
      <c r="L10" s="15">
        <v>0</v>
      </c>
      <c r="M10" s="15">
        <v>0</v>
      </c>
      <c r="O10" s="17">
        <v>-144896.44</v>
      </c>
    </row>
    <row r="11" spans="1:15" x14ac:dyDescent="0.2">
      <c r="D11" s="17"/>
      <c r="E11" s="17"/>
      <c r="F11" s="17"/>
      <c r="G11" s="17"/>
      <c r="H11" s="17"/>
      <c r="I11" s="17"/>
      <c r="J11" s="17"/>
      <c r="K11" s="17"/>
      <c r="L11" s="17"/>
      <c r="M11" s="17"/>
    </row>
    <row r="12" spans="1:15" x14ac:dyDescent="0.2">
      <c r="B12" s="18" t="s">
        <v>120</v>
      </c>
      <c r="C12" s="18"/>
      <c r="D12" s="19">
        <v>-4091.9817199999816</v>
      </c>
      <c r="E12" s="19"/>
      <c r="F12" s="19">
        <v>274854.45828000002</v>
      </c>
      <c r="G12" s="19">
        <v>-147396.44</v>
      </c>
      <c r="H12" s="19">
        <v>-49050</v>
      </c>
      <c r="I12" s="19">
        <v>0</v>
      </c>
      <c r="J12" s="19">
        <v>-70000</v>
      </c>
      <c r="K12" s="19">
        <v>-12500</v>
      </c>
      <c r="L12" s="19">
        <v>0</v>
      </c>
      <c r="M12" s="19">
        <v>0</v>
      </c>
      <c r="O12" s="19">
        <v>127458.01828000002</v>
      </c>
    </row>
    <row r="13" spans="1:15" x14ac:dyDescent="0.2">
      <c r="D13" s="17"/>
      <c r="E13" s="17"/>
      <c r="F13" s="17"/>
      <c r="G13" s="17"/>
      <c r="H13" s="17"/>
      <c r="I13" s="17"/>
      <c r="J13" s="17"/>
      <c r="K13" s="17"/>
      <c r="L13" s="17"/>
      <c r="M13" s="17"/>
    </row>
    <row r="14" spans="1:15" x14ac:dyDescent="0.2">
      <c r="B14" s="13" t="s">
        <v>146</v>
      </c>
      <c r="C14" s="13"/>
      <c r="D14" s="14">
        <v>3850</v>
      </c>
      <c r="E14" s="16"/>
      <c r="F14" s="15">
        <v>0</v>
      </c>
      <c r="G14" s="15">
        <v>2850</v>
      </c>
      <c r="H14" s="15">
        <v>1000</v>
      </c>
      <c r="I14" s="15">
        <v>0</v>
      </c>
      <c r="J14" s="15">
        <v>0</v>
      </c>
      <c r="K14" s="15">
        <v>0</v>
      </c>
      <c r="L14" s="15">
        <v>0</v>
      </c>
      <c r="M14" s="15">
        <v>0</v>
      </c>
      <c r="O14" s="17">
        <v>2850</v>
      </c>
    </row>
    <row r="15" spans="1:15" x14ac:dyDescent="0.2">
      <c r="D15" s="17"/>
      <c r="E15" s="17"/>
      <c r="F15" s="17"/>
      <c r="G15" s="17"/>
      <c r="H15" s="17"/>
      <c r="I15" s="17"/>
      <c r="J15" s="17"/>
      <c r="K15" s="17"/>
      <c r="L15" s="17"/>
      <c r="M15" s="17"/>
    </row>
    <row r="16" spans="1:15" ht="12.75" thickBot="1" x14ac:dyDescent="0.25">
      <c r="B16" s="20" t="s">
        <v>147</v>
      </c>
      <c r="C16" s="20"/>
      <c r="D16" s="21">
        <v>-241.98171999998158</v>
      </c>
      <c r="E16" s="21"/>
      <c r="F16" s="21">
        <v>274854.45828000002</v>
      </c>
      <c r="G16" s="21">
        <v>-144546.44</v>
      </c>
      <c r="H16" s="21">
        <v>-48050</v>
      </c>
      <c r="I16" s="21">
        <v>0</v>
      </c>
      <c r="J16" s="21">
        <v>-70000</v>
      </c>
      <c r="K16" s="21">
        <v>-12500</v>
      </c>
      <c r="L16" s="21">
        <v>0</v>
      </c>
      <c r="M16" s="21">
        <v>0</v>
      </c>
      <c r="O16" s="21">
        <v>130308.01828000002</v>
      </c>
    </row>
    <row r="17" spans="2:15" ht="12.75" thickTop="1" x14ac:dyDescent="0.2"/>
    <row r="18" spans="2:15" x14ac:dyDescent="0.2">
      <c r="B18" t="s">
        <v>349</v>
      </c>
      <c r="D18" s="15">
        <v>175000</v>
      </c>
      <c r="E18" s="15"/>
      <c r="F18" s="15"/>
      <c r="G18" s="15"/>
      <c r="H18" s="15"/>
      <c r="I18" s="15"/>
      <c r="J18" s="15"/>
      <c r="K18" s="15"/>
      <c r="L18" s="15"/>
      <c r="M18" s="15"/>
      <c r="N18" s="15"/>
      <c r="O18" s="17"/>
    </row>
    <row r="19" spans="2:15" x14ac:dyDescent="0.2">
      <c r="B19" t="s">
        <v>350</v>
      </c>
      <c r="D19" s="15">
        <v>-175000</v>
      </c>
      <c r="E19" s="15"/>
      <c r="F19" s="15"/>
      <c r="G19" s="15"/>
      <c r="H19" s="15"/>
      <c r="I19" s="15"/>
      <c r="J19" s="15"/>
      <c r="K19" s="15"/>
      <c r="L19" s="15"/>
      <c r="M19" s="15"/>
      <c r="N19" s="15"/>
      <c r="O19" s="17"/>
    </row>
    <row r="20" spans="2:15" x14ac:dyDescent="0.2">
      <c r="D20" s="15"/>
      <c r="E20" s="15"/>
      <c r="F20" s="15"/>
      <c r="G20" s="15"/>
      <c r="H20" s="15"/>
      <c r="I20" s="15"/>
      <c r="J20" s="15"/>
      <c r="K20" s="15"/>
      <c r="L20" s="15"/>
      <c r="M20" s="15"/>
      <c r="N20" s="15"/>
      <c r="O20" s="17"/>
    </row>
    <row r="21" spans="2:15" x14ac:dyDescent="0.2">
      <c r="B21" t="s">
        <v>519</v>
      </c>
      <c r="D21" s="15">
        <v>0</v>
      </c>
      <c r="E21" s="15"/>
      <c r="F21" s="15"/>
      <c r="G21" s="15"/>
      <c r="H21" s="15"/>
      <c r="I21" s="15"/>
      <c r="J21" s="15"/>
      <c r="K21" s="15"/>
      <c r="L21" s="15"/>
      <c r="M21" s="15"/>
      <c r="N21" s="15"/>
      <c r="O21" s="17"/>
    </row>
    <row r="23" spans="2:15" ht="12.75" thickBot="1" x14ac:dyDescent="0.25">
      <c r="B23" s="20" t="s">
        <v>147</v>
      </c>
      <c r="C23" s="20"/>
      <c r="D23" s="21">
        <v>-241.98171999998158</v>
      </c>
      <c r="E23" s="21"/>
      <c r="F23" s="21">
        <v>274854.45828000002</v>
      </c>
      <c r="G23" s="21">
        <v>-144546.44</v>
      </c>
      <c r="H23" s="21">
        <v>-48050</v>
      </c>
      <c r="I23" s="21">
        <v>0</v>
      </c>
      <c r="J23" s="21">
        <v>-70000</v>
      </c>
      <c r="K23" s="21">
        <v>-12500</v>
      </c>
      <c r="L23" s="21">
        <v>0</v>
      </c>
      <c r="M23" s="21">
        <v>0</v>
      </c>
      <c r="O23" s="21">
        <v>130308.01828000002</v>
      </c>
    </row>
    <row r="24" spans="2:15" ht="12.75" thickTop="1" x14ac:dyDescent="0.2"/>
    <row r="25" spans="2:15" hidden="1" x14ac:dyDescent="0.2">
      <c r="B25" s="68" t="s">
        <v>552</v>
      </c>
      <c r="C25" s="68"/>
      <c r="D25" s="68"/>
      <c r="E25" s="68"/>
      <c r="F25" s="68"/>
      <c r="G25" s="68"/>
      <c r="H25" s="87">
        <v>0.3687416985864394</v>
      </c>
      <c r="I25" s="87">
        <v>0</v>
      </c>
      <c r="J25" s="87">
        <v>0.5371887388356037</v>
      </c>
      <c r="K25" s="87">
        <v>9.5926560506357797E-2</v>
      </c>
      <c r="L25" s="68"/>
      <c r="M25" s="68"/>
      <c r="N25" s="68"/>
      <c r="O25" s="68"/>
    </row>
    <row r="26" spans="2:15" hidden="1" x14ac:dyDescent="0.2"/>
    <row r="27" spans="2:15" hidden="1" x14ac:dyDescent="0.2">
      <c r="B27" s="18" t="s">
        <v>248</v>
      </c>
      <c r="C27" s="18"/>
      <c r="D27" s="55">
        <v>-26962</v>
      </c>
      <c r="E27" s="18"/>
      <c r="F27" s="55">
        <v>239400</v>
      </c>
      <c r="G27" s="55">
        <v>-143372</v>
      </c>
      <c r="H27" s="55">
        <v>-44490</v>
      </c>
      <c r="I27" s="55">
        <v>-500</v>
      </c>
      <c r="J27" s="55">
        <v>-65500</v>
      </c>
      <c r="K27" s="55">
        <v>-12500</v>
      </c>
      <c r="L27" s="55">
        <v>0</v>
      </c>
      <c r="M27" s="55">
        <v>0</v>
      </c>
      <c r="N27" s="18"/>
      <c r="O27" s="19">
        <v>96028</v>
      </c>
    </row>
    <row r="28" spans="2:15" hidden="1" x14ac:dyDescent="0.2">
      <c r="B28" s="18"/>
      <c r="C28" s="18"/>
      <c r="D28" s="55"/>
      <c r="E28" s="18"/>
      <c r="F28" s="55"/>
      <c r="G28" s="55"/>
      <c r="H28" s="86">
        <v>0.4633023701420419</v>
      </c>
      <c r="I28" s="86">
        <v>5.2068146790519429E-3</v>
      </c>
      <c r="J28" s="86">
        <v>0.68209272295580459</v>
      </c>
      <c r="K28" s="86">
        <v>0.13017036697629858</v>
      </c>
      <c r="L28" s="55"/>
      <c r="M28" s="55"/>
      <c r="N28" s="18"/>
      <c r="O28" s="19">
        <v>0</v>
      </c>
    </row>
    <row r="29" spans="2:15" hidden="1" x14ac:dyDescent="0.2"/>
    <row r="30" spans="2:15" hidden="1" x14ac:dyDescent="0.2">
      <c r="B30" s="68" t="s">
        <v>250</v>
      </c>
      <c r="C30" s="68"/>
      <c r="D30" s="79">
        <v>26720.018280000018</v>
      </c>
      <c r="E30" s="68"/>
      <c r="F30" s="79">
        <v>35454.458280000021</v>
      </c>
      <c r="G30" s="79">
        <v>-1174.4400000000023</v>
      </c>
      <c r="H30" s="79">
        <v>-3560</v>
      </c>
      <c r="I30" s="79">
        <v>500</v>
      </c>
      <c r="J30" s="79">
        <v>-4500</v>
      </c>
      <c r="K30" s="79">
        <v>0</v>
      </c>
      <c r="L30" s="79">
        <v>0</v>
      </c>
      <c r="M30" s="79">
        <v>0</v>
      </c>
      <c r="N30" s="68"/>
      <c r="O30" s="79">
        <v>34280.018280000018</v>
      </c>
    </row>
    <row r="31" spans="2:15" hidden="1" x14ac:dyDescent="0.2"/>
    <row r="32" spans="2:15" hidden="1" x14ac:dyDescent="0.2">
      <c r="B32" s="18" t="s">
        <v>249</v>
      </c>
      <c r="C32" s="18"/>
      <c r="D32" s="55">
        <v>-12350.909999999971</v>
      </c>
      <c r="E32" s="18"/>
      <c r="F32" s="55">
        <v>206793.67</v>
      </c>
      <c r="G32" s="55">
        <v>-144526.29</v>
      </c>
      <c r="H32" s="55">
        <v>-44661.769999999975</v>
      </c>
      <c r="I32" s="55">
        <v>6715.1399999999994</v>
      </c>
      <c r="J32" s="55">
        <v>-19545.63</v>
      </c>
      <c r="K32" s="55">
        <v>-12126.029999999999</v>
      </c>
      <c r="L32" s="55">
        <v>0</v>
      </c>
      <c r="M32" s="55">
        <v>-5000</v>
      </c>
      <c r="N32" s="18"/>
      <c r="O32" s="19">
        <v>62267.380000000005</v>
      </c>
    </row>
    <row r="33" spans="2:15" hidden="1" x14ac:dyDescent="0.2"/>
    <row r="34" spans="2:15" hidden="1" x14ac:dyDescent="0.2">
      <c r="B34" s="68" t="s">
        <v>251</v>
      </c>
      <c r="C34" s="68"/>
      <c r="D34" s="79">
        <v>12108.928279999993</v>
      </c>
      <c r="E34" s="68"/>
      <c r="F34" s="79">
        <v>68060.788280000008</v>
      </c>
      <c r="G34" s="79">
        <v>-20.149999999994179</v>
      </c>
      <c r="H34" s="79">
        <v>-3388.230000000025</v>
      </c>
      <c r="I34" s="79">
        <v>-6715.1399999999994</v>
      </c>
      <c r="J34" s="79">
        <v>-50454.369999999995</v>
      </c>
      <c r="K34" s="79">
        <v>-373.97000000000116</v>
      </c>
      <c r="L34" s="79">
        <v>0</v>
      </c>
      <c r="M34" s="79">
        <v>5000</v>
      </c>
      <c r="N34" s="68"/>
      <c r="O34" s="79">
        <v>68040.638280000014</v>
      </c>
    </row>
    <row r="37" spans="2:15" hidden="1" x14ac:dyDescent="0.2">
      <c r="B37" s="88" t="s">
        <v>203</v>
      </c>
    </row>
    <row r="38" spans="2:15" hidden="1" x14ac:dyDescent="0.2"/>
    <row r="39" spans="2:15" hidden="1" x14ac:dyDescent="0.2">
      <c r="B39" s="13" t="s">
        <v>204</v>
      </c>
    </row>
    <row r="40" spans="2:15" hidden="1" x14ac:dyDescent="0.2">
      <c r="B40" s="13" t="s">
        <v>209</v>
      </c>
    </row>
    <row r="41" spans="2:15" hidden="1" x14ac:dyDescent="0.2"/>
    <row r="42" spans="2:15" hidden="1" x14ac:dyDescent="0.2">
      <c r="B42" s="13"/>
      <c r="D42" s="17">
        <v>128708</v>
      </c>
      <c r="F42" s="17">
        <v>238258</v>
      </c>
      <c r="G42" s="17"/>
      <c r="H42" s="17">
        <v>-25050</v>
      </c>
      <c r="I42" s="17">
        <v>-500</v>
      </c>
      <c r="J42" s="17">
        <v>-66500</v>
      </c>
      <c r="K42" s="17">
        <v>-12500</v>
      </c>
      <c r="L42" s="17"/>
      <c r="M42" s="17">
        <v>-5000</v>
      </c>
    </row>
    <row r="43" spans="2:15" hidden="1" x14ac:dyDescent="0.2">
      <c r="B43" s="13" t="s">
        <v>205</v>
      </c>
      <c r="D43" s="17">
        <v>155670</v>
      </c>
      <c r="F43" s="17">
        <v>-1142</v>
      </c>
      <c r="G43" s="17"/>
      <c r="H43" s="17">
        <v>19440</v>
      </c>
      <c r="I43" s="17">
        <v>0</v>
      </c>
      <c r="J43" s="17">
        <v>-1000</v>
      </c>
      <c r="K43" s="17">
        <v>0</v>
      </c>
      <c r="L43" s="17"/>
      <c r="M43" s="17">
        <v>-5000</v>
      </c>
    </row>
    <row r="44" spans="2:15" hidden="1" x14ac:dyDescent="0.2">
      <c r="B44" s="13"/>
      <c r="F44" s="17"/>
      <c r="G44" s="17"/>
      <c r="H44" s="17"/>
      <c r="I44" s="17"/>
      <c r="J44" s="17"/>
      <c r="K44" s="17"/>
      <c r="L44" s="17"/>
    </row>
    <row r="45" spans="2:15" hidden="1" x14ac:dyDescent="0.2"/>
  </sheetData>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AF1C-3C25-407B-8E70-58A64F45ECCA}">
  <sheetPr codeName="Sheet1"/>
  <dimension ref="B1:E28"/>
  <sheetViews>
    <sheetView zoomScaleNormal="100" workbookViewId="0">
      <selection sqref="A1:XFD1048576"/>
    </sheetView>
  </sheetViews>
  <sheetFormatPr defaultRowHeight="14.25" x14ac:dyDescent="0.2"/>
  <cols>
    <col min="1" max="1" width="1.42578125" style="119" customWidth="1"/>
    <col min="2" max="2" width="15.5703125" style="119" customWidth="1"/>
    <col min="3" max="16384" width="9.140625" style="119"/>
  </cols>
  <sheetData>
    <row r="1" spans="2:5" ht="22.5" x14ac:dyDescent="0.45">
      <c r="B1" s="129" t="s">
        <v>326</v>
      </c>
    </row>
    <row r="2" spans="2:5" ht="22.5" x14ac:dyDescent="0.45">
      <c r="B2" s="129"/>
    </row>
    <row r="4" spans="2:5" x14ac:dyDescent="0.2">
      <c r="B4" s="128">
        <v>45169</v>
      </c>
    </row>
    <row r="5" spans="2:5" x14ac:dyDescent="0.2">
      <c r="B5" s="128">
        <v>45199</v>
      </c>
      <c r="C5" s="201" t="s">
        <v>335</v>
      </c>
      <c r="D5" s="201" t="s">
        <v>319</v>
      </c>
    </row>
    <row r="6" spans="2:5" x14ac:dyDescent="0.2">
      <c r="B6" s="128">
        <v>45230</v>
      </c>
      <c r="C6" s="202"/>
      <c r="D6" s="202"/>
    </row>
    <row r="7" spans="2:5" x14ac:dyDescent="0.2">
      <c r="B7" s="128">
        <v>45260</v>
      </c>
      <c r="C7" s="202"/>
      <c r="D7" s="202"/>
      <c r="E7" s="119" t="s">
        <v>214</v>
      </c>
    </row>
    <row r="8" spans="2:5" x14ac:dyDescent="0.2">
      <c r="B8" s="128">
        <v>45291</v>
      </c>
      <c r="C8" s="202"/>
      <c r="D8" s="202"/>
    </row>
    <row r="9" spans="2:5" x14ac:dyDescent="0.2">
      <c r="B9" s="128">
        <v>45322</v>
      </c>
      <c r="C9" s="202"/>
      <c r="D9" s="202"/>
    </row>
    <row r="10" spans="2:5" x14ac:dyDescent="0.2">
      <c r="B10" s="128">
        <v>45351</v>
      </c>
      <c r="C10" s="202"/>
      <c r="D10" s="202"/>
      <c r="E10" s="119" t="s">
        <v>322</v>
      </c>
    </row>
    <row r="11" spans="2:5" x14ac:dyDescent="0.2">
      <c r="B11" s="128">
        <v>45382</v>
      </c>
      <c r="C11" s="202"/>
      <c r="D11" s="203"/>
    </row>
    <row r="12" spans="2:5" x14ac:dyDescent="0.2">
      <c r="B12" s="128">
        <v>45412</v>
      </c>
      <c r="C12" s="202"/>
      <c r="D12" s="201" t="s">
        <v>320</v>
      </c>
      <c r="E12" s="130" t="s">
        <v>337</v>
      </c>
    </row>
    <row r="13" spans="2:5" x14ac:dyDescent="0.2">
      <c r="B13" s="128">
        <v>45443</v>
      </c>
      <c r="C13" s="202"/>
      <c r="D13" s="202"/>
      <c r="E13" s="119" t="s">
        <v>321</v>
      </c>
    </row>
    <row r="14" spans="2:5" x14ac:dyDescent="0.2">
      <c r="B14" s="128">
        <v>45473</v>
      </c>
      <c r="C14" s="202"/>
      <c r="D14" s="202"/>
      <c r="E14" s="119" t="s">
        <v>323</v>
      </c>
    </row>
    <row r="15" spans="2:5" x14ac:dyDescent="0.2">
      <c r="B15" s="128">
        <v>45504</v>
      </c>
      <c r="C15" s="202"/>
      <c r="D15" s="202"/>
      <c r="E15" s="119" t="s">
        <v>325</v>
      </c>
    </row>
    <row r="16" spans="2:5" x14ac:dyDescent="0.2">
      <c r="B16" s="128">
        <v>45535</v>
      </c>
      <c r="C16" s="203"/>
      <c r="D16" s="202"/>
    </row>
    <row r="17" spans="2:5" x14ac:dyDescent="0.2">
      <c r="B17" s="128">
        <v>45565</v>
      </c>
      <c r="C17" s="201" t="s">
        <v>336</v>
      </c>
      <c r="D17" s="202"/>
      <c r="E17" s="119" t="s">
        <v>176</v>
      </c>
    </row>
    <row r="18" spans="2:5" x14ac:dyDescent="0.2">
      <c r="B18" s="128">
        <v>45596</v>
      </c>
      <c r="C18" s="202"/>
      <c r="D18" s="202"/>
    </row>
    <row r="19" spans="2:5" x14ac:dyDescent="0.2">
      <c r="B19" s="128">
        <v>45626</v>
      </c>
      <c r="C19" s="202"/>
      <c r="D19" s="202"/>
    </row>
    <row r="20" spans="2:5" x14ac:dyDescent="0.2">
      <c r="B20" s="128">
        <v>45657</v>
      </c>
      <c r="C20" s="202"/>
      <c r="D20" s="202"/>
    </row>
    <row r="21" spans="2:5" x14ac:dyDescent="0.2">
      <c r="B21" s="128">
        <v>45688</v>
      </c>
      <c r="C21" s="202"/>
      <c r="D21" s="202"/>
    </row>
    <row r="22" spans="2:5" x14ac:dyDescent="0.2">
      <c r="B22" s="128">
        <v>45716</v>
      </c>
      <c r="C22" s="202"/>
      <c r="D22" s="202"/>
    </row>
    <row r="23" spans="2:5" x14ac:dyDescent="0.2">
      <c r="B23" s="128">
        <v>45747</v>
      </c>
      <c r="C23" s="202"/>
      <c r="D23" s="203"/>
    </row>
    <row r="24" spans="2:5" x14ac:dyDescent="0.2">
      <c r="B24" s="128">
        <v>45777</v>
      </c>
      <c r="C24" s="202"/>
      <c r="E24" s="130" t="s">
        <v>337</v>
      </c>
    </row>
    <row r="25" spans="2:5" x14ac:dyDescent="0.2">
      <c r="B25" s="128">
        <v>45808</v>
      </c>
      <c r="C25" s="202"/>
    </row>
    <row r="26" spans="2:5" x14ac:dyDescent="0.2">
      <c r="B26" s="128">
        <v>45838</v>
      </c>
      <c r="C26" s="202"/>
    </row>
    <row r="27" spans="2:5" x14ac:dyDescent="0.2">
      <c r="B27" s="128">
        <v>45869</v>
      </c>
      <c r="C27" s="202"/>
      <c r="E27" s="119" t="s">
        <v>324</v>
      </c>
    </row>
    <row r="28" spans="2:5" x14ac:dyDescent="0.2">
      <c r="B28" s="128">
        <v>45900</v>
      </c>
      <c r="C28" s="203"/>
    </row>
  </sheetData>
  <mergeCells count="4">
    <mergeCell ref="D5:D11"/>
    <mergeCell ref="D12:D23"/>
    <mergeCell ref="C5:C16"/>
    <mergeCell ref="C17:C2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D391-31A6-46C2-B027-BC239A7CD096}">
  <dimension ref="A1:M75"/>
  <sheetViews>
    <sheetView topLeftCell="A31" zoomScale="110" zoomScaleNormal="110" workbookViewId="0">
      <selection activeCell="F62" sqref="F62"/>
    </sheetView>
  </sheetViews>
  <sheetFormatPr defaultRowHeight="12" x14ac:dyDescent="0.2"/>
  <cols>
    <col min="1" max="1" width="28.28515625" customWidth="1"/>
    <col min="2" max="2" width="10.7109375" customWidth="1"/>
    <col min="5" max="5" width="10" bestFit="1" customWidth="1"/>
  </cols>
  <sheetData>
    <row r="1" spans="1:10" ht="19.5" x14ac:dyDescent="0.4">
      <c r="A1" s="106" t="s">
        <v>417</v>
      </c>
    </row>
    <row r="3" spans="1:10" x14ac:dyDescent="0.2">
      <c r="B3" t="s">
        <v>385</v>
      </c>
      <c r="C3" t="s">
        <v>365</v>
      </c>
      <c r="D3" t="s">
        <v>366</v>
      </c>
      <c r="E3" t="s">
        <v>367</v>
      </c>
      <c r="F3" t="s">
        <v>369</v>
      </c>
      <c r="G3" t="s">
        <v>386</v>
      </c>
      <c r="H3" t="s">
        <v>387</v>
      </c>
    </row>
    <row r="4" spans="1:10" x14ac:dyDescent="0.2">
      <c r="A4" s="152"/>
    </row>
    <row r="5" spans="1:10" x14ac:dyDescent="0.2">
      <c r="A5" s="152" t="s">
        <v>388</v>
      </c>
      <c r="B5" s="17">
        <v>7000</v>
      </c>
      <c r="C5" s="17">
        <f>B6</f>
        <v>8928.4519466853744</v>
      </c>
      <c r="D5" s="17">
        <f>C6</f>
        <v>12266</v>
      </c>
      <c r="E5" s="17">
        <f t="shared" ref="E5:H5" si="0">D6</f>
        <v>14159</v>
      </c>
      <c r="F5" s="17">
        <f t="shared" si="0"/>
        <v>15574.900000000001</v>
      </c>
      <c r="G5" s="17">
        <f t="shared" si="0"/>
        <v>16197.896000000002</v>
      </c>
      <c r="H5" s="17">
        <f t="shared" si="0"/>
        <v>16521.853920000001</v>
      </c>
    </row>
    <row r="6" spans="1:10" x14ac:dyDescent="0.2">
      <c r="A6" s="152" t="s">
        <v>389</v>
      </c>
      <c r="B6" s="17">
        <f>8301*12266/11404</f>
        <v>8928.4519466853744</v>
      </c>
      <c r="C6" s="15">
        <v>12266</v>
      </c>
      <c r="D6" s="15">
        <v>14159</v>
      </c>
      <c r="E6" s="17">
        <f>D6*(1+E9)</f>
        <v>15574.900000000001</v>
      </c>
      <c r="F6" s="17">
        <f t="shared" ref="F6:H6" si="1">E6*(1+F9)</f>
        <v>16197.896000000002</v>
      </c>
      <c r="G6" s="17">
        <f t="shared" si="1"/>
        <v>16521.853920000001</v>
      </c>
      <c r="H6" s="17">
        <f t="shared" si="1"/>
        <v>16852.290998400003</v>
      </c>
    </row>
    <row r="7" spans="1:10" x14ac:dyDescent="0.2">
      <c r="A7" s="153" t="s">
        <v>393</v>
      </c>
      <c r="B7" s="17">
        <f t="shared" ref="B7:G7" si="2">(B6+B5)/2</f>
        <v>7964.2259733426872</v>
      </c>
      <c r="C7" s="17">
        <f t="shared" si="2"/>
        <v>10597.225973342687</v>
      </c>
      <c r="D7" s="17">
        <f t="shared" si="2"/>
        <v>13212.5</v>
      </c>
      <c r="E7" s="17">
        <f t="shared" si="2"/>
        <v>14866.95</v>
      </c>
      <c r="F7" s="17">
        <f t="shared" si="2"/>
        <v>15886.398000000001</v>
      </c>
      <c r="G7" s="17">
        <f t="shared" si="2"/>
        <v>16359.874960000001</v>
      </c>
      <c r="H7" s="17">
        <f>(H6+H5)/2</f>
        <v>16687.072459200004</v>
      </c>
    </row>
    <row r="8" spans="1:10" x14ac:dyDescent="0.2">
      <c r="A8" s="152"/>
    </row>
    <row r="9" spans="1:10" x14ac:dyDescent="0.2">
      <c r="A9" s="152" t="s">
        <v>390</v>
      </c>
      <c r="B9" s="151"/>
      <c r="C9" s="151">
        <f>(C6/B6)-1</f>
        <v>0.37381038429104918</v>
      </c>
      <c r="D9" s="151">
        <f>(D6/C6)-1</f>
        <v>0.15432903962171851</v>
      </c>
      <c r="E9" s="151">
        <v>0.1</v>
      </c>
      <c r="F9" s="151">
        <v>0.04</v>
      </c>
      <c r="G9" s="151">
        <v>0.02</v>
      </c>
      <c r="H9" s="151">
        <v>0.02</v>
      </c>
    </row>
    <row r="10" spans="1:10" x14ac:dyDescent="0.2">
      <c r="A10" s="152"/>
    </row>
    <row r="11" spans="1:10" ht="24" x14ac:dyDescent="0.2">
      <c r="A11" s="153" t="s">
        <v>391</v>
      </c>
      <c r="B11">
        <v>18</v>
      </c>
      <c r="C11">
        <v>18</v>
      </c>
      <c r="D11">
        <v>18</v>
      </c>
      <c r="E11">
        <v>18</v>
      </c>
      <c r="F11">
        <v>18</v>
      </c>
      <c r="G11">
        <v>18</v>
      </c>
      <c r="H11">
        <v>18</v>
      </c>
      <c r="J11" s="13" t="s">
        <v>392</v>
      </c>
    </row>
    <row r="12" spans="1:10" x14ac:dyDescent="0.2">
      <c r="A12" s="152"/>
    </row>
    <row r="13" spans="1:10" s="17" customFormat="1" x14ac:dyDescent="0.2">
      <c r="A13" s="154" t="s">
        <v>358</v>
      </c>
      <c r="B13" s="17">
        <f>B11*B7</f>
        <v>143356.06752016838</v>
      </c>
      <c r="C13" s="17">
        <f>C11*C7</f>
        <v>190750.06752016838</v>
      </c>
      <c r="D13" s="17">
        <f t="shared" ref="D13:H13" si="3">D11*D7</f>
        <v>237825</v>
      </c>
      <c r="E13" s="17">
        <f t="shared" si="3"/>
        <v>267605.10000000003</v>
      </c>
      <c r="F13" s="17">
        <f t="shared" si="3"/>
        <v>285955.16399999999</v>
      </c>
      <c r="G13" s="17">
        <f t="shared" si="3"/>
        <v>294477.74927999999</v>
      </c>
      <c r="H13" s="17">
        <f t="shared" si="3"/>
        <v>300367.30426560005</v>
      </c>
    </row>
    <row r="14" spans="1:10" s="17" customFormat="1" x14ac:dyDescent="0.2">
      <c r="A14" s="154"/>
    </row>
    <row r="15" spans="1:10" s="17" customFormat="1" ht="26.25" customHeight="1" x14ac:dyDescent="0.2">
      <c r="A15" s="155" t="s">
        <v>394</v>
      </c>
      <c r="C15" s="17">
        <f>0.5*C13+0.5*B13</f>
        <v>167053.06752016838</v>
      </c>
      <c r="D15" s="17">
        <f>0.5*D13+0.5*C13</f>
        <v>214287.53376008419</v>
      </c>
      <c r="E15" s="17">
        <f t="shared" ref="E15:H15" si="4">0.5*E13+0.5*D13</f>
        <v>252715.05000000002</v>
      </c>
      <c r="F15" s="17">
        <f t="shared" si="4"/>
        <v>276780.13199999998</v>
      </c>
      <c r="G15" s="17">
        <f t="shared" si="4"/>
        <v>290216.45663999999</v>
      </c>
      <c r="H15" s="17">
        <f t="shared" si="4"/>
        <v>297422.52677280002</v>
      </c>
      <c r="J15" s="16" t="s">
        <v>435</v>
      </c>
    </row>
    <row r="16" spans="1:10" s="17" customFormat="1" x14ac:dyDescent="0.2"/>
    <row r="17" spans="1:10" s="17" customFormat="1" x14ac:dyDescent="0.2">
      <c r="A17" s="16" t="s">
        <v>395</v>
      </c>
      <c r="C17" s="16">
        <f>211291</f>
        <v>211291</v>
      </c>
      <c r="D17" s="17">
        <f>218253</f>
        <v>218253</v>
      </c>
      <c r="E17" s="17">
        <v>255000</v>
      </c>
      <c r="F17" s="17">
        <v>291000</v>
      </c>
      <c r="G17" s="17">
        <v>290000</v>
      </c>
      <c r="H17" s="17">
        <v>300000</v>
      </c>
      <c r="J17" s="16" t="s">
        <v>436</v>
      </c>
    </row>
    <row r="18" spans="1:10" s="17" customFormat="1" x14ac:dyDescent="0.2">
      <c r="A18" s="16"/>
    </row>
    <row r="19" spans="1:10" s="17" customFormat="1" x14ac:dyDescent="0.2">
      <c r="A19" s="16" t="s">
        <v>413</v>
      </c>
      <c r="C19" s="17">
        <f>C17-C15</f>
        <v>44237.932479831623</v>
      </c>
      <c r="D19" s="17">
        <f t="shared" ref="D19:H19" si="5">D17-D15</f>
        <v>3965.4662399158115</v>
      </c>
      <c r="E19" s="17">
        <f t="shared" si="5"/>
        <v>2284.9499999999825</v>
      </c>
      <c r="F19" s="17">
        <f t="shared" si="5"/>
        <v>14219.868000000017</v>
      </c>
      <c r="G19" s="17">
        <f t="shared" si="5"/>
        <v>-216.45663999998942</v>
      </c>
      <c r="H19" s="17">
        <f t="shared" si="5"/>
        <v>2577.4732271999819</v>
      </c>
      <c r="J19" s="16" t="s">
        <v>437</v>
      </c>
    </row>
    <row r="20" spans="1:10" s="17" customFormat="1" x14ac:dyDescent="0.2"/>
    <row r="21" spans="1:10" s="17" customFormat="1" x14ac:dyDescent="0.2">
      <c r="A21" s="16" t="s">
        <v>414</v>
      </c>
    </row>
    <row r="22" spans="1:10" s="17" customFormat="1" x14ac:dyDescent="0.2">
      <c r="A22" s="16"/>
    </row>
    <row r="23" spans="1:10" s="17" customFormat="1" x14ac:dyDescent="0.2">
      <c r="A23" s="19" t="s">
        <v>433</v>
      </c>
    </row>
    <row r="24" spans="1:10" s="17" customFormat="1" x14ac:dyDescent="0.2">
      <c r="A24" s="16"/>
    </row>
    <row r="25" spans="1:10" s="17" customFormat="1" ht="24" x14ac:dyDescent="0.2">
      <c r="A25" s="153" t="s">
        <v>391</v>
      </c>
      <c r="B25">
        <v>18</v>
      </c>
      <c r="C25">
        <v>18</v>
      </c>
      <c r="D25">
        <v>18</v>
      </c>
      <c r="E25">
        <v>18</v>
      </c>
      <c r="F25">
        <f>E25*1.08</f>
        <v>19.440000000000001</v>
      </c>
      <c r="G25">
        <f t="shared" ref="G25:H25" si="6">F25</f>
        <v>19.440000000000001</v>
      </c>
      <c r="H25">
        <f t="shared" si="6"/>
        <v>19.440000000000001</v>
      </c>
      <c r="J25" s="16" t="s">
        <v>438</v>
      </c>
    </row>
    <row r="26" spans="1:10" s="17" customFormat="1" x14ac:dyDescent="0.2">
      <c r="A26" s="152"/>
      <c r="B26"/>
      <c r="C26"/>
      <c r="D26"/>
      <c r="E26"/>
      <c r="F26"/>
      <c r="G26"/>
      <c r="H26"/>
    </row>
    <row r="27" spans="1:10" s="17" customFormat="1" x14ac:dyDescent="0.2">
      <c r="A27" s="154" t="s">
        <v>358</v>
      </c>
      <c r="B27" s="17">
        <f>B25*B7</f>
        <v>143356.06752016838</v>
      </c>
      <c r="C27" s="17">
        <f t="shared" ref="C27:H27" si="7">C25*C7</f>
        <v>190750.06752016838</v>
      </c>
      <c r="D27" s="17">
        <f t="shared" si="7"/>
        <v>237825</v>
      </c>
      <c r="E27" s="17">
        <f t="shared" si="7"/>
        <v>267605.10000000003</v>
      </c>
      <c r="F27" s="17">
        <f t="shared" si="7"/>
        <v>308831.57712000003</v>
      </c>
      <c r="G27" s="17">
        <f t="shared" si="7"/>
        <v>318035.96922240005</v>
      </c>
      <c r="H27" s="17">
        <f t="shared" si="7"/>
        <v>324396.68860684813</v>
      </c>
    </row>
    <row r="28" spans="1:10" s="17" customFormat="1" x14ac:dyDescent="0.2">
      <c r="A28" s="154"/>
    </row>
    <row r="29" spans="1:10" s="17" customFormat="1" ht="24" x14ac:dyDescent="0.2">
      <c r="A29" s="155" t="s">
        <v>394</v>
      </c>
      <c r="C29" s="17">
        <f>0.5*C27+0.5*B27</f>
        <v>167053.06752016838</v>
      </c>
      <c r="D29" s="17">
        <f>0.5*D27+0.5*C27</f>
        <v>214287.53376008419</v>
      </c>
      <c r="E29" s="17">
        <f t="shared" ref="E29:H29" si="8">0.5*E27+0.5*D27</f>
        <v>252715.05000000002</v>
      </c>
      <c r="F29" s="17">
        <f t="shared" si="8"/>
        <v>288218.33856000006</v>
      </c>
      <c r="G29" s="17">
        <f t="shared" si="8"/>
        <v>313433.77317120007</v>
      </c>
      <c r="H29" s="17">
        <f t="shared" si="8"/>
        <v>321216.32891462406</v>
      </c>
    </row>
    <row r="30" spans="1:10" s="17" customFormat="1" x14ac:dyDescent="0.2"/>
    <row r="31" spans="1:10" s="17" customFormat="1" x14ac:dyDescent="0.2">
      <c r="A31" s="16" t="s">
        <v>395</v>
      </c>
      <c r="C31" s="16">
        <f>211291</f>
        <v>211291</v>
      </c>
      <c r="D31" s="17">
        <f>218253</f>
        <v>218253</v>
      </c>
      <c r="E31" s="17">
        <v>255000</v>
      </c>
      <c r="F31" s="17">
        <v>291000</v>
      </c>
      <c r="G31" s="17">
        <v>315000</v>
      </c>
      <c r="H31" s="17">
        <v>320000</v>
      </c>
    </row>
    <row r="32" spans="1:10" s="17" customFormat="1" x14ac:dyDescent="0.2">
      <c r="A32" s="16"/>
    </row>
    <row r="33" spans="1:13" s="17" customFormat="1" x14ac:dyDescent="0.2">
      <c r="A33" s="16" t="s">
        <v>413</v>
      </c>
      <c r="C33" s="17">
        <f>C31-C29</f>
        <v>44237.932479831623</v>
      </c>
      <c r="D33" s="17">
        <f t="shared" ref="D33:H33" si="9">D31-D29</f>
        <v>3965.4662399158115</v>
      </c>
      <c r="E33" s="17">
        <f t="shared" si="9"/>
        <v>2284.9499999999825</v>
      </c>
      <c r="F33" s="17">
        <f t="shared" si="9"/>
        <v>2781.661439999938</v>
      </c>
      <c r="G33" s="17">
        <f t="shared" si="9"/>
        <v>1566.2268287999323</v>
      </c>
      <c r="H33" s="17">
        <f t="shared" si="9"/>
        <v>-1216.3289146240568</v>
      </c>
    </row>
    <row r="34" spans="1:13" s="17" customFormat="1" x14ac:dyDescent="0.2">
      <c r="A34" s="16"/>
    </row>
    <row r="35" spans="1:13" s="17" customFormat="1" x14ac:dyDescent="0.2">
      <c r="A35" s="16" t="s">
        <v>434</v>
      </c>
    </row>
    <row r="36" spans="1:13" s="17" customFormat="1" x14ac:dyDescent="0.2"/>
    <row r="37" spans="1:13" s="17" customFormat="1" ht="49.5" customHeight="1" x14ac:dyDescent="0.2">
      <c r="B37" s="164" t="s">
        <v>415</v>
      </c>
      <c r="C37" s="164" t="s">
        <v>408</v>
      </c>
      <c r="D37" s="164" t="s">
        <v>409</v>
      </c>
      <c r="E37" s="164" t="s">
        <v>410</v>
      </c>
      <c r="F37" s="164" t="s">
        <v>411</v>
      </c>
      <c r="G37" s="164" t="s">
        <v>416</v>
      </c>
      <c r="H37" s="170" t="s">
        <v>445</v>
      </c>
      <c r="J37" s="86">
        <v>0.05</v>
      </c>
      <c r="K37" s="86">
        <v>0.1</v>
      </c>
      <c r="L37" s="86">
        <v>0.15</v>
      </c>
      <c r="M37" s="86">
        <v>0.2</v>
      </c>
    </row>
    <row r="38" spans="1:13" s="17" customFormat="1" ht="7.5" customHeight="1" x14ac:dyDescent="0.2">
      <c r="C38" s="155"/>
      <c r="D38" s="155"/>
      <c r="E38" s="155"/>
      <c r="F38" s="155"/>
      <c r="G38" s="154"/>
    </row>
    <row r="39" spans="1:13" s="17" customFormat="1" x14ac:dyDescent="0.2">
      <c r="A39" t="s">
        <v>396</v>
      </c>
      <c r="B39" s="157">
        <v>2069</v>
      </c>
      <c r="C39" s="158">
        <v>6</v>
      </c>
      <c r="D39" s="158">
        <v>12</v>
      </c>
      <c r="E39" s="158">
        <f>B39*C39/1.2</f>
        <v>10345</v>
      </c>
      <c r="F39" s="158">
        <f>B39*D39/1.2</f>
        <v>20690</v>
      </c>
      <c r="G39" s="151">
        <f>(D39/C39)-1</f>
        <v>1</v>
      </c>
      <c r="H39" s="146">
        <f>C39*1.3</f>
        <v>7.8000000000000007</v>
      </c>
      <c r="I39" s="158"/>
      <c r="J39" s="162">
        <f>C39*1.05</f>
        <v>6.3000000000000007</v>
      </c>
      <c r="K39" s="162">
        <f>C39*1.1</f>
        <v>6.6000000000000005</v>
      </c>
      <c r="L39" s="162">
        <f>C39*1.15</f>
        <v>6.8999999999999995</v>
      </c>
      <c r="M39" s="162">
        <f>C39*1.2</f>
        <v>7.1999999999999993</v>
      </c>
    </row>
    <row r="40" spans="1:13" s="17" customFormat="1" x14ac:dyDescent="0.2">
      <c r="A40" t="s">
        <v>397</v>
      </c>
      <c r="B40" s="157">
        <v>1046</v>
      </c>
      <c r="C40" s="158">
        <v>19.5</v>
      </c>
      <c r="D40" s="158">
        <v>12</v>
      </c>
      <c r="E40" s="158">
        <f t="shared" ref="E40:E41" si="10">B40*C40/1.2</f>
        <v>16997.5</v>
      </c>
      <c r="F40" s="158">
        <f t="shared" ref="F40:F41" si="11">B40*D40/1.2</f>
        <v>10460</v>
      </c>
      <c r="G40" s="151">
        <f t="shared" ref="G40:G41" si="12">(D40/C40)-1</f>
        <v>-0.38461538461538458</v>
      </c>
      <c r="H40" s="146">
        <f t="shared" ref="H40:H41" si="13">C40*1.3</f>
        <v>25.35</v>
      </c>
      <c r="I40" s="158"/>
      <c r="J40" s="162">
        <f t="shared" ref="J40:J57" si="14">C40*1.05</f>
        <v>20.475000000000001</v>
      </c>
      <c r="K40" s="162">
        <f t="shared" ref="K40:K57" si="15">C40*1.1</f>
        <v>21.450000000000003</v>
      </c>
      <c r="L40" s="162">
        <f t="shared" ref="L40:L57" si="16">C40*1.15</f>
        <v>22.424999999999997</v>
      </c>
      <c r="M40" s="162">
        <f t="shared" ref="M40:M57" si="17">C40*1.2</f>
        <v>23.4</v>
      </c>
    </row>
    <row r="41" spans="1:13" s="17" customFormat="1" x14ac:dyDescent="0.2">
      <c r="A41" t="s">
        <v>398</v>
      </c>
      <c r="B41" s="157">
        <v>20</v>
      </c>
      <c r="C41" s="158">
        <v>75</v>
      </c>
      <c r="D41" s="158">
        <v>90</v>
      </c>
      <c r="E41" s="158">
        <f t="shared" si="10"/>
        <v>1250</v>
      </c>
      <c r="F41" s="158">
        <f t="shared" si="11"/>
        <v>1500</v>
      </c>
      <c r="G41" s="151">
        <f t="shared" si="12"/>
        <v>0.19999999999999996</v>
      </c>
      <c r="H41" s="146">
        <f t="shared" si="13"/>
        <v>97.5</v>
      </c>
      <c r="I41" s="158"/>
      <c r="J41" s="162">
        <f t="shared" si="14"/>
        <v>78.75</v>
      </c>
      <c r="K41" s="162">
        <f t="shared" si="15"/>
        <v>82.5</v>
      </c>
      <c r="L41" s="162">
        <f t="shared" si="16"/>
        <v>86.25</v>
      </c>
      <c r="M41" s="162">
        <f t="shared" si="17"/>
        <v>90</v>
      </c>
    </row>
    <row r="42" spans="1:13" s="17" customFormat="1" x14ac:dyDescent="0.2">
      <c r="A42"/>
      <c r="B42" s="157"/>
      <c r="C42" s="158"/>
      <c r="D42" s="158"/>
      <c r="E42" s="158"/>
      <c r="F42" s="158"/>
      <c r="G42" s="158"/>
      <c r="H42" s="146"/>
      <c r="I42" s="158"/>
      <c r="J42" s="162"/>
      <c r="K42" s="162"/>
      <c r="L42" s="162"/>
      <c r="M42" s="162"/>
    </row>
    <row r="43" spans="1:13" s="17" customFormat="1" ht="12.75" x14ac:dyDescent="0.2">
      <c r="A43" s="156" t="s">
        <v>399</v>
      </c>
      <c r="B43" s="159">
        <f>SUM(B39:B41)</f>
        <v>3135</v>
      </c>
      <c r="C43" s="162">
        <f>E43/B43</f>
        <v>9.1204146730462519</v>
      </c>
      <c r="D43" s="162">
        <f>F43/B43</f>
        <v>10.414673046251993</v>
      </c>
      <c r="E43" s="159">
        <f>SUM(E39:E41)</f>
        <v>28592.5</v>
      </c>
      <c r="F43" s="159">
        <f>SUM(F39:F41)</f>
        <v>32650</v>
      </c>
      <c r="G43" s="151">
        <f>(F43/E43)-1</f>
        <v>0.14190784296581271</v>
      </c>
      <c r="H43" s="146"/>
      <c r="I43" s="158"/>
      <c r="J43" s="162"/>
      <c r="K43" s="162"/>
      <c r="L43" s="162"/>
      <c r="M43" s="162"/>
    </row>
    <row r="44" spans="1:13" s="17" customFormat="1" ht="12.75" x14ac:dyDescent="0.2">
      <c r="A44" s="156"/>
      <c r="B44" s="159"/>
      <c r="C44" s="158"/>
      <c r="D44" s="158"/>
      <c r="E44" s="159"/>
      <c r="F44" s="159"/>
      <c r="G44" s="158"/>
      <c r="H44" s="146"/>
      <c r="I44" s="158"/>
      <c r="J44" s="162"/>
      <c r="K44" s="162"/>
      <c r="L44" s="162"/>
      <c r="M44" s="162"/>
    </row>
    <row r="45" spans="1:13" s="17" customFormat="1" x14ac:dyDescent="0.2">
      <c r="A45" t="s">
        <v>400</v>
      </c>
      <c r="B45" s="157">
        <v>4478</v>
      </c>
      <c r="C45" s="158">
        <v>18</v>
      </c>
      <c r="D45" s="158">
        <v>21</v>
      </c>
      <c r="E45" s="158">
        <f>B45*C45/1.2</f>
        <v>67170</v>
      </c>
      <c r="F45" s="158">
        <f>B45*D45/1.2</f>
        <v>78365</v>
      </c>
      <c r="G45" s="151">
        <f t="shared" ref="G45:G50" si="18">(D45/C45)-1</f>
        <v>0.16666666666666674</v>
      </c>
      <c r="H45" s="146">
        <f t="shared" ref="H45:H50" si="19">C45*1.3</f>
        <v>23.400000000000002</v>
      </c>
      <c r="I45" s="158"/>
      <c r="J45" s="162">
        <f t="shared" si="14"/>
        <v>18.900000000000002</v>
      </c>
      <c r="K45" s="162">
        <f t="shared" si="15"/>
        <v>19.8</v>
      </c>
      <c r="L45" s="162">
        <f t="shared" si="16"/>
        <v>20.7</v>
      </c>
      <c r="M45" s="162">
        <f t="shared" si="17"/>
        <v>21.599999999999998</v>
      </c>
    </row>
    <row r="46" spans="1:13" s="17" customFormat="1" x14ac:dyDescent="0.2">
      <c r="A46" t="s">
        <v>401</v>
      </c>
      <c r="B46" s="157">
        <v>2472</v>
      </c>
      <c r="C46" s="158">
        <v>27</v>
      </c>
      <c r="D46" s="158">
        <v>34</v>
      </c>
      <c r="E46" s="158">
        <f t="shared" ref="E46:E50" si="20">B46*C46/1.2</f>
        <v>55620</v>
      </c>
      <c r="F46" s="158">
        <f t="shared" ref="F46:F50" si="21">B46*D46/1.2</f>
        <v>70040</v>
      </c>
      <c r="G46" s="151">
        <f t="shared" si="18"/>
        <v>0.2592592592592593</v>
      </c>
      <c r="H46" s="146">
        <f t="shared" si="19"/>
        <v>35.1</v>
      </c>
      <c r="I46" s="158"/>
      <c r="J46" s="162">
        <f t="shared" si="14"/>
        <v>28.35</v>
      </c>
      <c r="K46" s="162">
        <f t="shared" si="15"/>
        <v>29.700000000000003</v>
      </c>
      <c r="L46" s="162">
        <f t="shared" si="16"/>
        <v>31.049999999999997</v>
      </c>
      <c r="M46" s="162">
        <f t="shared" si="17"/>
        <v>32.4</v>
      </c>
    </row>
    <row r="47" spans="1:13" s="17" customFormat="1" x14ac:dyDescent="0.2">
      <c r="A47" t="s">
        <v>402</v>
      </c>
      <c r="B47" s="157">
        <v>2860</v>
      </c>
      <c r="C47" s="158">
        <v>39</v>
      </c>
      <c r="D47" s="158">
        <v>34</v>
      </c>
      <c r="E47" s="158">
        <f t="shared" si="20"/>
        <v>92950</v>
      </c>
      <c r="F47" s="158">
        <f t="shared" si="21"/>
        <v>81033.333333333343</v>
      </c>
      <c r="G47" s="151">
        <f t="shared" si="18"/>
        <v>-0.12820512820512819</v>
      </c>
      <c r="H47" s="146">
        <f t="shared" si="19"/>
        <v>50.7</v>
      </c>
      <c r="I47" s="158"/>
      <c r="J47" s="162">
        <f t="shared" si="14"/>
        <v>40.950000000000003</v>
      </c>
      <c r="K47" s="162">
        <f t="shared" si="15"/>
        <v>42.900000000000006</v>
      </c>
      <c r="L47" s="162">
        <f t="shared" si="16"/>
        <v>44.849999999999994</v>
      </c>
      <c r="M47" s="162">
        <f t="shared" si="17"/>
        <v>46.8</v>
      </c>
    </row>
    <row r="48" spans="1:13" s="17" customFormat="1" x14ac:dyDescent="0.2">
      <c r="A48" t="s">
        <v>403</v>
      </c>
      <c r="B48" s="157">
        <v>110</v>
      </c>
      <c r="C48" s="158">
        <v>75</v>
      </c>
      <c r="D48" s="158">
        <v>90</v>
      </c>
      <c r="E48" s="158">
        <f t="shared" si="20"/>
        <v>6875</v>
      </c>
      <c r="F48" s="158">
        <f t="shared" si="21"/>
        <v>8250</v>
      </c>
      <c r="G48" s="151">
        <f t="shared" si="18"/>
        <v>0.19999999999999996</v>
      </c>
      <c r="H48" s="146">
        <f t="shared" si="19"/>
        <v>97.5</v>
      </c>
      <c r="I48" s="158"/>
      <c r="J48" s="162">
        <f t="shared" si="14"/>
        <v>78.75</v>
      </c>
      <c r="K48" s="162">
        <f t="shared" si="15"/>
        <v>82.5</v>
      </c>
      <c r="L48" s="162">
        <f t="shared" si="16"/>
        <v>86.25</v>
      </c>
      <c r="M48" s="162">
        <f t="shared" si="17"/>
        <v>90</v>
      </c>
    </row>
    <row r="49" spans="1:13" s="17" customFormat="1" x14ac:dyDescent="0.2">
      <c r="A49" t="s">
        <v>404</v>
      </c>
      <c r="B49" s="157">
        <v>510</v>
      </c>
      <c r="C49" s="158">
        <v>6</v>
      </c>
      <c r="D49" s="158">
        <v>12</v>
      </c>
      <c r="E49" s="158">
        <f t="shared" si="20"/>
        <v>2550</v>
      </c>
      <c r="F49" s="158">
        <f t="shared" si="21"/>
        <v>5100</v>
      </c>
      <c r="G49" s="151">
        <f t="shared" si="18"/>
        <v>1</v>
      </c>
      <c r="H49" s="146">
        <f t="shared" si="19"/>
        <v>7.8000000000000007</v>
      </c>
      <c r="I49" s="158"/>
      <c r="J49" s="162">
        <f t="shared" si="14"/>
        <v>6.3000000000000007</v>
      </c>
      <c r="K49" s="162">
        <f t="shared" si="15"/>
        <v>6.6000000000000005</v>
      </c>
      <c r="L49" s="162">
        <f t="shared" si="16"/>
        <v>6.8999999999999995</v>
      </c>
      <c r="M49" s="162">
        <f t="shared" si="17"/>
        <v>7.1999999999999993</v>
      </c>
    </row>
    <row r="50" spans="1:13" s="17" customFormat="1" x14ac:dyDescent="0.2">
      <c r="A50" t="s">
        <v>405</v>
      </c>
      <c r="B50" s="157">
        <v>213</v>
      </c>
      <c r="C50" s="158">
        <v>10</v>
      </c>
      <c r="D50" s="158">
        <v>12</v>
      </c>
      <c r="E50" s="158">
        <f t="shared" si="20"/>
        <v>1775</v>
      </c>
      <c r="F50" s="158">
        <f t="shared" si="21"/>
        <v>2130</v>
      </c>
      <c r="G50" s="151">
        <f t="shared" si="18"/>
        <v>0.19999999999999996</v>
      </c>
      <c r="H50" s="146">
        <f t="shared" si="19"/>
        <v>13</v>
      </c>
      <c r="I50" s="158"/>
      <c r="J50" s="162">
        <f t="shared" si="14"/>
        <v>10.5</v>
      </c>
      <c r="K50" s="162">
        <f t="shared" si="15"/>
        <v>11</v>
      </c>
      <c r="L50" s="162">
        <f t="shared" si="16"/>
        <v>11.5</v>
      </c>
      <c r="M50" s="162">
        <f t="shared" si="17"/>
        <v>12</v>
      </c>
    </row>
    <row r="51" spans="1:13" s="17" customFormat="1" x14ac:dyDescent="0.2">
      <c r="A51"/>
      <c r="B51" s="157"/>
      <c r="C51" s="158"/>
      <c r="D51" s="158"/>
      <c r="E51" s="158"/>
      <c r="F51" s="158"/>
      <c r="G51" s="158"/>
      <c r="H51" s="146"/>
      <c r="I51" s="158"/>
      <c r="J51" s="162"/>
      <c r="K51" s="162"/>
      <c r="L51" s="162"/>
      <c r="M51" s="162"/>
    </row>
    <row r="52" spans="1:13" s="17" customFormat="1" ht="12.75" x14ac:dyDescent="0.2">
      <c r="A52" s="156" t="s">
        <v>406</v>
      </c>
      <c r="B52" s="160">
        <f>SUM(B45:B50)</f>
        <v>10643</v>
      </c>
      <c r="C52" s="162">
        <f>E52/B52</f>
        <v>21.322935262613925</v>
      </c>
      <c r="D52" s="162">
        <f>F52/B52</f>
        <v>23.012151962166058</v>
      </c>
      <c r="E52" s="160">
        <f t="shared" ref="E52:F52" si="22">SUM(E45:E50)</f>
        <v>226940</v>
      </c>
      <c r="F52" s="160">
        <f t="shared" si="22"/>
        <v>244918.33333333334</v>
      </c>
      <c r="G52" s="151">
        <f>(F52/E52)-1</f>
        <v>7.9220645691959746E-2</v>
      </c>
      <c r="H52" s="146"/>
      <c r="I52" s="158"/>
      <c r="J52" s="162"/>
      <c r="K52" s="162"/>
      <c r="L52" s="162"/>
      <c r="M52" s="162"/>
    </row>
    <row r="53" spans="1:13" s="17" customFormat="1" ht="12.75" x14ac:dyDescent="0.2">
      <c r="A53" s="156"/>
      <c r="B53" s="160"/>
      <c r="C53" s="158"/>
      <c r="D53" s="158"/>
      <c r="E53" s="160"/>
      <c r="F53" s="160"/>
      <c r="G53" s="158"/>
      <c r="H53" s="146"/>
      <c r="I53" s="158"/>
      <c r="J53" s="162"/>
      <c r="K53" s="162"/>
      <c r="L53" s="162"/>
      <c r="M53" s="162"/>
    </row>
    <row r="54" spans="1:13" s="17" customFormat="1" ht="12.75" x14ac:dyDescent="0.2">
      <c r="A54" s="156" t="s">
        <v>407</v>
      </c>
      <c r="B54" s="161">
        <f>B52+B43</f>
        <v>13778</v>
      </c>
      <c r="C54" s="162">
        <f>E54/B54</f>
        <v>18.546414573958483</v>
      </c>
      <c r="D54" s="162">
        <f>F54/B54</f>
        <v>20.145763778003584</v>
      </c>
      <c r="E54" s="161">
        <f t="shared" ref="E54:F54" si="23">E52+E43</f>
        <v>255532.5</v>
      </c>
      <c r="F54" s="161">
        <f t="shared" si="23"/>
        <v>277568.33333333337</v>
      </c>
      <c r="G54" s="151">
        <f>(F54/E54)-1</f>
        <v>8.62349538056153E-2</v>
      </c>
      <c r="H54" s="146"/>
      <c r="I54" s="158"/>
      <c r="J54" s="162"/>
      <c r="K54" s="162"/>
      <c r="L54" s="162"/>
      <c r="M54" s="162"/>
    </row>
    <row r="55" spans="1:13" s="17" customFormat="1" ht="12.75" x14ac:dyDescent="0.2">
      <c r="A55" s="156"/>
      <c r="B55" s="161"/>
      <c r="C55" s="162"/>
      <c r="D55" s="162"/>
      <c r="E55" s="161"/>
      <c r="F55" s="161"/>
      <c r="G55" s="151"/>
      <c r="H55" s="146"/>
      <c r="I55" s="158"/>
      <c r="J55" s="162"/>
      <c r="K55" s="162"/>
      <c r="L55" s="162"/>
      <c r="M55" s="162"/>
    </row>
    <row r="56" spans="1:13" s="17" customFormat="1" x14ac:dyDescent="0.2">
      <c r="A56" t="s">
        <v>446</v>
      </c>
      <c r="B56"/>
      <c r="C56" s="171">
        <f>((E46+E47)/(B46+B47))*1.2</f>
        <v>33.436609152288071</v>
      </c>
      <c r="D56">
        <v>34</v>
      </c>
      <c r="E56"/>
      <c r="F56"/>
      <c r="G56" s="151">
        <f>(D56/C56)-1</f>
        <v>1.6849520988983846E-2</v>
      </c>
      <c r="H56" s="146">
        <f>C56*1.3</f>
        <v>43.467591897974494</v>
      </c>
      <c r="J56" s="162">
        <f t="shared" si="14"/>
        <v>35.108439609902476</v>
      </c>
      <c r="K56" s="162">
        <f t="shared" si="15"/>
        <v>36.780270067516881</v>
      </c>
      <c r="L56" s="162">
        <f t="shared" si="16"/>
        <v>38.452100525131279</v>
      </c>
      <c r="M56" s="162">
        <f t="shared" si="17"/>
        <v>40.123930982745684</v>
      </c>
    </row>
    <row r="57" spans="1:13" s="17" customFormat="1" ht="12.75" x14ac:dyDescent="0.2">
      <c r="A57" s="123" t="s">
        <v>447</v>
      </c>
      <c r="B57"/>
      <c r="C57" s="171">
        <f>(E39+E40)/(B39+B40)*1.2</f>
        <v>10.53322632423756</v>
      </c>
      <c r="D57">
        <v>12</v>
      </c>
      <c r="E57"/>
      <c r="F57"/>
      <c r="G57" s="151">
        <f>(D57/C57)-1</f>
        <v>0.13925208009509005</v>
      </c>
      <c r="H57" s="146">
        <f>C57*1.3</f>
        <v>13.693194221508829</v>
      </c>
      <c r="J57" s="162">
        <f t="shared" si="14"/>
        <v>11.059887640449439</v>
      </c>
      <c r="K57" s="162">
        <f t="shared" si="15"/>
        <v>11.586548956661318</v>
      </c>
      <c r="L57" s="162">
        <f t="shared" si="16"/>
        <v>12.113210272873193</v>
      </c>
      <c r="M57" s="162">
        <f t="shared" si="17"/>
        <v>12.639871589085072</v>
      </c>
    </row>
    <row r="58" spans="1:13" s="17" customFormat="1" x14ac:dyDescent="0.2">
      <c r="B58" s="158"/>
      <c r="C58" s="158"/>
      <c r="D58" s="158"/>
      <c r="E58" s="158"/>
      <c r="F58" s="158"/>
      <c r="G58" s="158"/>
      <c r="H58" s="158"/>
      <c r="I58" s="158"/>
    </row>
    <row r="59" spans="1:13" x14ac:dyDescent="0.2">
      <c r="B59" s="158"/>
      <c r="C59" s="158"/>
      <c r="D59" s="158"/>
      <c r="E59" s="158"/>
      <c r="F59" s="158"/>
      <c r="G59" s="163" t="s">
        <v>412</v>
      </c>
      <c r="H59" s="158"/>
      <c r="I59" s="158"/>
    </row>
    <row r="60" spans="1:13" x14ac:dyDescent="0.2">
      <c r="B60" s="158"/>
      <c r="C60" s="158"/>
      <c r="D60" s="158"/>
      <c r="E60" s="158"/>
      <c r="F60" s="158"/>
      <c r="G60" s="158"/>
      <c r="H60" s="158"/>
      <c r="I60" s="158"/>
    </row>
    <row r="61" spans="1:13" x14ac:dyDescent="0.2">
      <c r="A61" s="18" t="s">
        <v>252</v>
      </c>
      <c r="B61" s="158"/>
      <c r="C61" s="158"/>
      <c r="D61" s="158"/>
      <c r="E61" s="158"/>
      <c r="F61" s="158"/>
      <c r="G61" s="158"/>
      <c r="H61" s="158"/>
      <c r="I61" s="158"/>
    </row>
    <row r="62" spans="1:13" x14ac:dyDescent="0.2">
      <c r="B62" s="158"/>
      <c r="C62" s="158"/>
      <c r="D62" s="158"/>
      <c r="E62" s="158"/>
      <c r="F62" s="158"/>
      <c r="G62" s="158"/>
      <c r="H62" s="158"/>
      <c r="I62" s="158"/>
    </row>
    <row r="63" spans="1:13" x14ac:dyDescent="0.2">
      <c r="A63" s="13" t="s">
        <v>253</v>
      </c>
    </row>
    <row r="64" spans="1:13" x14ac:dyDescent="0.2">
      <c r="A64" s="13" t="s">
        <v>254</v>
      </c>
    </row>
    <row r="65" spans="1:1" x14ac:dyDescent="0.2">
      <c r="A65" s="13"/>
    </row>
    <row r="67" spans="1:1" x14ac:dyDescent="0.2">
      <c r="A67" s="18" t="s">
        <v>273</v>
      </c>
    </row>
    <row r="69" spans="1:1" x14ac:dyDescent="0.2">
      <c r="A69" s="13" t="s">
        <v>343</v>
      </c>
    </row>
    <row r="71" spans="1:1" x14ac:dyDescent="0.2">
      <c r="A71" s="13" t="s">
        <v>344</v>
      </c>
    </row>
    <row r="73" spans="1:1" x14ac:dyDescent="0.2">
      <c r="A73" s="13" t="s">
        <v>345</v>
      </c>
    </row>
    <row r="75" spans="1:1" x14ac:dyDescent="0.2">
      <c r="A75" s="13" t="s">
        <v>384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51A7-05F6-4053-B2FF-4222898B605F}">
  <sheetPr>
    <tabColor rgb="FF00B0F0"/>
  </sheetPr>
  <dimension ref="A1"/>
  <sheetViews>
    <sheetView workbookViewId="0">
      <selection activeCell="H39" sqref="H39"/>
    </sheetView>
  </sheetViews>
  <sheetFormatPr defaultRowHeight="12"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47306-D1E6-4DA9-B1F5-BB380E9F01B9}">
  <sheetPr codeName="Sheet6">
    <pageSetUpPr fitToPage="1"/>
  </sheetPr>
  <dimension ref="B1:K46"/>
  <sheetViews>
    <sheetView zoomScaleNormal="100" workbookViewId="0">
      <pane ySplit="4" topLeftCell="A5" activePane="bottomLeft" state="frozen"/>
      <selection pane="bottomLeft" sqref="A1:XFD1048576"/>
    </sheetView>
  </sheetViews>
  <sheetFormatPr defaultRowHeight="12" x14ac:dyDescent="0.2"/>
  <cols>
    <col min="1" max="1" width="0.85546875" customWidth="1"/>
    <col min="2" max="2" width="63.42578125" customWidth="1"/>
    <col min="3" max="3" width="7.5703125" style="15" bestFit="1" customWidth="1"/>
    <col min="4" max="4" width="10" style="15" bestFit="1" customWidth="1"/>
    <col min="5" max="5" width="14.7109375" style="15" bestFit="1" customWidth="1"/>
    <col min="6" max="6" width="9.140625" style="15"/>
    <col min="7" max="7" width="0" style="15" hidden="1" customWidth="1"/>
    <col min="8" max="8" width="0" hidden="1" customWidth="1"/>
    <col min="9" max="9" width="10.42578125" bestFit="1" customWidth="1"/>
    <col min="10" max="10" width="10.42578125" hidden="1" customWidth="1"/>
  </cols>
  <sheetData>
    <row r="1" spans="2:11" ht="20.25" thickBot="1" x14ac:dyDescent="0.45">
      <c r="B1" s="69" t="s">
        <v>578</v>
      </c>
      <c r="C1" s="70"/>
      <c r="D1" s="70"/>
      <c r="E1" s="70"/>
      <c r="F1" s="70"/>
      <c r="G1" s="70"/>
      <c r="H1" s="71"/>
      <c r="I1" s="71"/>
      <c r="J1" s="71"/>
    </row>
    <row r="2" spans="2:11" ht="19.5" x14ac:dyDescent="0.4">
      <c r="B2" s="106"/>
      <c r="C2" s="107"/>
      <c r="D2" s="107"/>
      <c r="E2" s="107"/>
      <c r="F2" s="107"/>
      <c r="G2" s="107"/>
    </row>
    <row r="3" spans="2:11" s="110" customFormat="1" ht="19.5" x14ac:dyDescent="0.4">
      <c r="B3" s="108"/>
      <c r="C3" s="195">
        <v>2025</v>
      </c>
      <c r="D3" s="195">
        <v>2024</v>
      </c>
      <c r="E3" s="195">
        <v>2023</v>
      </c>
      <c r="F3" s="109"/>
      <c r="G3" s="109"/>
    </row>
    <row r="4" spans="2:11" x14ac:dyDescent="0.2">
      <c r="B4" s="18"/>
      <c r="C4" s="196" t="s">
        <v>154</v>
      </c>
      <c r="D4" s="196" t="s">
        <v>157</v>
      </c>
      <c r="E4" s="196" t="s">
        <v>577</v>
      </c>
      <c r="F4" s="55"/>
      <c r="G4" s="55"/>
      <c r="H4" s="18"/>
      <c r="I4" s="59" t="s">
        <v>246</v>
      </c>
      <c r="J4" s="59" t="s">
        <v>584</v>
      </c>
    </row>
    <row r="5" spans="2:11" x14ac:dyDescent="0.2">
      <c r="C5" s="14"/>
      <c r="D5" s="14"/>
      <c r="E5" s="14"/>
      <c r="F5" s="14"/>
      <c r="G5" s="14"/>
      <c r="I5" s="58"/>
      <c r="J5" s="58"/>
    </row>
    <row r="6" spans="2:11" x14ac:dyDescent="0.2">
      <c r="B6" s="60" t="s">
        <v>143</v>
      </c>
    </row>
    <row r="8" spans="2:11" x14ac:dyDescent="0.2">
      <c r="B8" s="52" t="s">
        <v>6</v>
      </c>
      <c r="C8" s="15">
        <v>5000</v>
      </c>
      <c r="D8" s="15">
        <v>5000</v>
      </c>
      <c r="E8" s="15">
        <v>5067.63</v>
      </c>
      <c r="I8" s="17">
        <v>0</v>
      </c>
      <c r="J8" s="17">
        <v>-67.630000000000109</v>
      </c>
    </row>
    <row r="9" spans="2:11" x14ac:dyDescent="0.2">
      <c r="B9" s="52" t="s">
        <v>34</v>
      </c>
      <c r="C9" s="15">
        <v>286704.45828000002</v>
      </c>
      <c r="D9" s="15">
        <v>255000</v>
      </c>
      <c r="E9" s="15">
        <v>218253.32</v>
      </c>
      <c r="I9" s="17">
        <v>31704.458280000021</v>
      </c>
      <c r="J9" s="17">
        <v>68451.138280000014</v>
      </c>
      <c r="K9" s="122"/>
    </row>
    <row r="10" spans="2:11" x14ac:dyDescent="0.2">
      <c r="B10" s="52" t="s">
        <v>595</v>
      </c>
      <c r="C10" s="15">
        <v>3500</v>
      </c>
      <c r="D10" s="15">
        <v>3500</v>
      </c>
      <c r="E10" s="15">
        <v>3624.2200000000003</v>
      </c>
      <c r="I10" s="17">
        <v>0</v>
      </c>
      <c r="J10" s="17">
        <v>-124.22000000000025</v>
      </c>
      <c r="K10" s="122"/>
    </row>
    <row r="11" spans="2:11" x14ac:dyDescent="0.2">
      <c r="B11" s="52" t="s">
        <v>592</v>
      </c>
      <c r="C11" s="15">
        <v>17900</v>
      </c>
      <c r="D11" s="15">
        <v>17900</v>
      </c>
      <c r="E11" s="15">
        <v>18123.350000000002</v>
      </c>
      <c r="I11" s="17">
        <v>0</v>
      </c>
      <c r="J11" s="17">
        <v>-223.35000000000218</v>
      </c>
      <c r="K11" s="122"/>
    </row>
    <row r="12" spans="2:11" x14ac:dyDescent="0.2">
      <c r="B12" s="54" t="s">
        <v>265</v>
      </c>
      <c r="C12" s="15">
        <v>3000</v>
      </c>
      <c r="D12" s="15">
        <v>0</v>
      </c>
      <c r="E12" s="15">
        <v>0</v>
      </c>
      <c r="I12" s="17">
        <v>3000</v>
      </c>
      <c r="J12" s="17">
        <v>3000</v>
      </c>
    </row>
    <row r="13" spans="2:11" x14ac:dyDescent="0.2">
      <c r="B13" s="53"/>
    </row>
    <row r="14" spans="2:11" x14ac:dyDescent="0.2">
      <c r="B14" s="61" t="s">
        <v>151</v>
      </c>
      <c r="C14" s="55">
        <v>316104.45828000002</v>
      </c>
      <c r="D14" s="55">
        <v>281400</v>
      </c>
      <c r="E14" s="55">
        <v>245068.52000000002</v>
      </c>
      <c r="F14" s="55"/>
      <c r="G14" s="55"/>
      <c r="H14" s="18"/>
      <c r="I14" s="55">
        <v>34704.458280000021</v>
      </c>
      <c r="J14" s="55">
        <v>71035.938280000002</v>
      </c>
    </row>
    <row r="16" spans="2:11" x14ac:dyDescent="0.2">
      <c r="B16" s="62" t="s">
        <v>150</v>
      </c>
    </row>
    <row r="18" spans="2:10" s="13" customFormat="1" x14ac:dyDescent="0.2">
      <c r="B18" s="72" t="s">
        <v>50</v>
      </c>
      <c r="C18" s="14">
        <v>-10500</v>
      </c>
      <c r="D18" s="14">
        <v>-10000</v>
      </c>
      <c r="E18" s="14">
        <v>-10404.959999999999</v>
      </c>
      <c r="F18" s="14"/>
      <c r="G18" s="14"/>
      <c r="I18" s="17">
        <v>-500</v>
      </c>
      <c r="J18" s="17">
        <v>-95.040000000000873</v>
      </c>
    </row>
    <row r="19" spans="2:10" x14ac:dyDescent="0.2">
      <c r="B19" s="52" t="s">
        <v>594</v>
      </c>
      <c r="C19" s="15">
        <v>-9450</v>
      </c>
      <c r="D19" s="15">
        <v>-9000</v>
      </c>
      <c r="E19" s="15">
        <v>-5553</v>
      </c>
      <c r="I19" s="17">
        <v>-450</v>
      </c>
      <c r="J19" s="17">
        <v>-3897</v>
      </c>
    </row>
    <row r="20" spans="2:10" x14ac:dyDescent="0.2">
      <c r="B20" s="72" t="s">
        <v>93</v>
      </c>
      <c r="C20" s="15">
        <v>-6300</v>
      </c>
      <c r="D20" s="15">
        <v>-6000</v>
      </c>
      <c r="E20" s="15">
        <v>-5500</v>
      </c>
      <c r="I20" s="17">
        <v>-300</v>
      </c>
      <c r="J20" s="17">
        <v>-800</v>
      </c>
    </row>
    <row r="21" spans="2:10" x14ac:dyDescent="0.2">
      <c r="B21" s="72" t="s">
        <v>593</v>
      </c>
      <c r="C21" s="15">
        <v>-15000</v>
      </c>
      <c r="D21" s="15">
        <v>-17000</v>
      </c>
      <c r="E21" s="15">
        <v>-16816.89</v>
      </c>
      <c r="I21" s="17">
        <v>2000</v>
      </c>
      <c r="J21" s="17">
        <v>1816.8899999999994</v>
      </c>
    </row>
    <row r="23" spans="2:10" x14ac:dyDescent="0.2">
      <c r="B23" s="61" t="s">
        <v>152</v>
      </c>
      <c r="C23" s="55">
        <v>-41250</v>
      </c>
      <c r="D23" s="55">
        <v>-42000</v>
      </c>
      <c r="E23" s="55">
        <v>-38274.85</v>
      </c>
      <c r="F23" s="55"/>
      <c r="G23" s="55"/>
      <c r="H23" s="18"/>
      <c r="I23" s="55">
        <v>750</v>
      </c>
      <c r="J23" s="55">
        <v>-2975.1500000000015</v>
      </c>
    </row>
    <row r="24" spans="2:10" x14ac:dyDescent="0.2">
      <c r="B24" s="18"/>
      <c r="C24" s="55"/>
      <c r="D24" s="55"/>
      <c r="E24" s="55"/>
      <c r="F24" s="55"/>
      <c r="G24" s="55"/>
      <c r="H24" s="18"/>
      <c r="I24" s="55"/>
      <c r="J24" s="55"/>
    </row>
    <row r="25" spans="2:10" x14ac:dyDescent="0.2">
      <c r="B25" s="63" t="s">
        <v>99</v>
      </c>
      <c r="C25" s="64">
        <v>274854.45828000002</v>
      </c>
      <c r="D25" s="64">
        <v>239400</v>
      </c>
      <c r="E25" s="64">
        <v>206793.67</v>
      </c>
      <c r="F25" s="64"/>
      <c r="G25" s="64"/>
      <c r="H25" s="65"/>
      <c r="I25" s="64">
        <v>35454.458280000021</v>
      </c>
      <c r="J25" s="64">
        <v>68060.788280000008</v>
      </c>
    </row>
    <row r="27" spans="2:10" x14ac:dyDescent="0.2">
      <c r="B27" s="52"/>
      <c r="I27" s="17">
        <v>0</v>
      </c>
      <c r="J27" s="17">
        <v>0</v>
      </c>
    </row>
    <row r="29" spans="2:10" ht="12.75" thickBot="1" x14ac:dyDescent="0.25">
      <c r="B29" s="20" t="s">
        <v>153</v>
      </c>
      <c r="C29" s="66">
        <v>274854.45828000002</v>
      </c>
      <c r="D29" s="66">
        <v>239400</v>
      </c>
      <c r="E29" s="66">
        <v>206793.67</v>
      </c>
      <c r="F29" s="66"/>
      <c r="G29" s="66"/>
      <c r="H29" s="67"/>
      <c r="I29" s="66">
        <v>35454.458280000021</v>
      </c>
      <c r="J29" s="66">
        <v>68060.788280000008</v>
      </c>
    </row>
    <row r="30" spans="2:10" ht="12.75" thickTop="1" x14ac:dyDescent="0.2"/>
    <row r="32" spans="2:10" x14ac:dyDescent="0.2">
      <c r="B32" s="60" t="s">
        <v>158</v>
      </c>
    </row>
    <row r="34" spans="2:10" x14ac:dyDescent="0.2">
      <c r="B34" s="13" t="s">
        <v>138</v>
      </c>
      <c r="C34" s="15">
        <v>286704.45828000002</v>
      </c>
      <c r="D34" s="15">
        <v>255000</v>
      </c>
      <c r="E34" s="15">
        <v>218253.32</v>
      </c>
      <c r="I34" s="17">
        <v>31704.458280000021</v>
      </c>
      <c r="J34" s="17">
        <v>68451.138280000014</v>
      </c>
    </row>
    <row r="35" spans="2:10" x14ac:dyDescent="0.2">
      <c r="B35" s="13" t="s">
        <v>180</v>
      </c>
      <c r="C35" s="15">
        <v>-5950</v>
      </c>
      <c r="D35" s="15">
        <v>-5500</v>
      </c>
      <c r="E35" s="15">
        <v>-1928.7799999999997</v>
      </c>
      <c r="I35" s="17">
        <v>-450</v>
      </c>
      <c r="J35" s="17">
        <v>-4021.2200000000003</v>
      </c>
    </row>
    <row r="36" spans="2:10" x14ac:dyDescent="0.2">
      <c r="B36" s="13" t="s">
        <v>592</v>
      </c>
      <c r="C36" s="15">
        <v>17900</v>
      </c>
      <c r="D36" s="15">
        <v>17900</v>
      </c>
      <c r="E36" s="15">
        <v>18123.350000000002</v>
      </c>
      <c r="I36" s="17">
        <v>0</v>
      </c>
      <c r="J36" s="17">
        <v>-223.35000000000218</v>
      </c>
    </row>
    <row r="37" spans="2:10" x14ac:dyDescent="0.2">
      <c r="B37" s="13" t="s">
        <v>181</v>
      </c>
      <c r="C37" s="15">
        <v>-25500</v>
      </c>
      <c r="D37" s="15">
        <v>-27000</v>
      </c>
      <c r="E37" s="15">
        <v>-27221.85</v>
      </c>
      <c r="I37" s="17">
        <v>1500</v>
      </c>
      <c r="J37" s="17">
        <v>1721.8499999999985</v>
      </c>
    </row>
    <row r="38" spans="2:10" x14ac:dyDescent="0.2">
      <c r="B38" s="13" t="s">
        <v>182</v>
      </c>
      <c r="C38" s="15">
        <v>5000</v>
      </c>
      <c r="D38" s="15">
        <v>5000</v>
      </c>
      <c r="E38" s="15">
        <v>5067.63</v>
      </c>
      <c r="I38" s="17">
        <v>0</v>
      </c>
      <c r="J38" s="17">
        <v>-67.630000000000109</v>
      </c>
    </row>
    <row r="39" spans="2:10" x14ac:dyDescent="0.2">
      <c r="B39" s="13" t="s">
        <v>266</v>
      </c>
      <c r="C39" s="15">
        <v>3000</v>
      </c>
      <c r="D39" s="15">
        <v>0</v>
      </c>
      <c r="E39" s="15">
        <v>0</v>
      </c>
      <c r="I39" s="17">
        <v>3000</v>
      </c>
      <c r="J39" s="17">
        <v>3000</v>
      </c>
    </row>
    <row r="40" spans="2:10" x14ac:dyDescent="0.2">
      <c r="B40" s="13" t="s">
        <v>136</v>
      </c>
      <c r="C40" s="15">
        <v>-6300</v>
      </c>
      <c r="D40" s="15">
        <v>-6000</v>
      </c>
      <c r="E40" s="15">
        <v>-5500</v>
      </c>
      <c r="I40" s="17">
        <v>-300</v>
      </c>
      <c r="J40" s="17">
        <v>-800</v>
      </c>
    </row>
    <row r="41" spans="2:10" x14ac:dyDescent="0.2">
      <c r="B41" s="13"/>
      <c r="I41" s="17"/>
      <c r="J41" s="17"/>
    </row>
    <row r="43" spans="2:10" s="18" customFormat="1" ht="12.75" thickBot="1" x14ac:dyDescent="0.25">
      <c r="B43" s="20" t="s">
        <v>172</v>
      </c>
      <c r="C43" s="66">
        <v>274854.45828000002</v>
      </c>
      <c r="D43" s="66">
        <v>239400</v>
      </c>
      <c r="E43" s="66">
        <v>206793.67</v>
      </c>
      <c r="F43" s="66"/>
      <c r="G43" s="66"/>
      <c r="H43" s="20"/>
      <c r="I43" s="66">
        <v>35454.458280000021</v>
      </c>
      <c r="J43" s="66">
        <v>68060.788280000008</v>
      </c>
    </row>
    <row r="44" spans="2:10" ht="12.75" thickTop="1" x14ac:dyDescent="0.2"/>
    <row r="45" spans="2:10" s="68" customFormat="1" hidden="1" x14ac:dyDescent="0.2">
      <c r="B45" s="68" t="s">
        <v>171</v>
      </c>
      <c r="C45" s="57">
        <v>0</v>
      </c>
      <c r="D45" s="57">
        <v>0</v>
      </c>
      <c r="E45" s="57">
        <v>0</v>
      </c>
      <c r="F45" s="57"/>
      <c r="G45" s="57"/>
      <c r="I45" s="57">
        <v>0</v>
      </c>
      <c r="J45" s="57">
        <v>0</v>
      </c>
    </row>
    <row r="46" spans="2:10" hidden="1" x14ac:dyDescent="0.2"/>
  </sheetData>
  <pageMargins left="0.70866141732283472" right="0.70866141732283472"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05DD-2E33-4463-BE74-0811F8AB0868}">
  <sheetPr codeName="Sheet11">
    <pageSetUpPr fitToPage="1"/>
  </sheetPr>
  <dimension ref="A1:H74"/>
  <sheetViews>
    <sheetView zoomScaleNormal="100" workbookViewId="0">
      <pane ySplit="4" topLeftCell="A5" activePane="bottomLeft" state="frozen"/>
      <selection pane="bottomLeft" sqref="A1:XFD1048576"/>
    </sheetView>
  </sheetViews>
  <sheetFormatPr defaultRowHeight="12" x14ac:dyDescent="0.2"/>
  <cols>
    <col min="1" max="1" width="0.7109375" customWidth="1"/>
    <col min="2" max="2" width="63.42578125" customWidth="1"/>
    <col min="3" max="3" width="8.5703125" style="15" bestFit="1" customWidth="1"/>
    <col min="4" max="4" width="10" style="15" bestFit="1" customWidth="1"/>
    <col min="5" max="5" width="8.5703125" style="15" bestFit="1" customWidth="1"/>
    <col min="6" max="6" width="6.140625" customWidth="1"/>
    <col min="7" max="7" width="10.42578125" bestFit="1" customWidth="1"/>
    <col min="8" max="8" width="10.42578125" hidden="1" customWidth="1"/>
  </cols>
  <sheetData>
    <row r="1" spans="2:8" ht="20.25" thickBot="1" x14ac:dyDescent="0.45">
      <c r="B1" s="69" t="s">
        <v>579</v>
      </c>
      <c r="C1" s="70"/>
      <c r="D1" s="70"/>
      <c r="E1" s="70"/>
      <c r="F1" s="71"/>
      <c r="G1" s="71"/>
      <c r="H1" s="71"/>
    </row>
    <row r="3" spans="2:8" x14ac:dyDescent="0.2">
      <c r="C3" s="195">
        <v>2025</v>
      </c>
      <c r="D3" s="195">
        <v>2024</v>
      </c>
      <c r="E3" s="195">
        <v>2023</v>
      </c>
      <c r="F3" s="109"/>
      <c r="G3" s="109"/>
      <c r="H3" s="110"/>
    </row>
    <row r="4" spans="2:8" x14ac:dyDescent="0.2">
      <c r="B4" s="18"/>
      <c r="C4" s="196" t="s">
        <v>154</v>
      </c>
      <c r="D4" s="196" t="s">
        <v>157</v>
      </c>
      <c r="E4" s="196" t="s">
        <v>577</v>
      </c>
      <c r="F4" s="55"/>
      <c r="G4" s="59" t="s">
        <v>246</v>
      </c>
      <c r="H4" s="59" t="s">
        <v>584</v>
      </c>
    </row>
    <row r="5" spans="2:8" x14ac:dyDescent="0.2">
      <c r="C5" s="14"/>
      <c r="D5" s="14"/>
      <c r="E5" s="14"/>
      <c r="G5" s="58"/>
      <c r="H5" s="58"/>
    </row>
    <row r="6" spans="2:8" x14ac:dyDescent="0.2">
      <c r="B6" s="60" t="s">
        <v>143</v>
      </c>
    </row>
    <row r="8" spans="2:8" x14ac:dyDescent="0.2">
      <c r="B8" s="72" t="s">
        <v>183</v>
      </c>
      <c r="C8" s="15">
        <v>0</v>
      </c>
      <c r="D8" s="15">
        <v>0</v>
      </c>
      <c r="E8" s="15">
        <v>3212</v>
      </c>
      <c r="G8" s="17">
        <v>0</v>
      </c>
      <c r="H8" s="17">
        <v>-3212</v>
      </c>
    </row>
    <row r="9" spans="2:8" x14ac:dyDescent="0.2">
      <c r="B9" s="53"/>
    </row>
    <row r="10" spans="2:8" x14ac:dyDescent="0.2">
      <c r="B10" s="61" t="s">
        <v>151</v>
      </c>
      <c r="C10" s="55">
        <v>0</v>
      </c>
      <c r="D10" s="55">
        <v>0</v>
      </c>
      <c r="E10" s="55">
        <v>3212</v>
      </c>
      <c r="F10" s="18"/>
      <c r="G10" s="55">
        <v>0</v>
      </c>
      <c r="H10" s="55">
        <v>-3212</v>
      </c>
    </row>
    <row r="12" spans="2:8" x14ac:dyDescent="0.2">
      <c r="B12" s="62" t="s">
        <v>150</v>
      </c>
    </row>
    <row r="14" spans="2:8" s="13" customFormat="1" x14ac:dyDescent="0.2">
      <c r="B14" s="72" t="s">
        <v>596</v>
      </c>
      <c r="C14" s="14">
        <v>-2500</v>
      </c>
      <c r="D14" s="14">
        <v>-2500</v>
      </c>
      <c r="E14" s="14">
        <v>-2477</v>
      </c>
      <c r="G14" s="17">
        <v>0</v>
      </c>
      <c r="H14" s="17">
        <v>-23</v>
      </c>
    </row>
    <row r="15" spans="2:8" x14ac:dyDescent="0.2">
      <c r="B15" s="52" t="s">
        <v>90</v>
      </c>
      <c r="C15" s="15">
        <v>0</v>
      </c>
      <c r="D15" s="15">
        <v>0</v>
      </c>
      <c r="E15" s="15">
        <v>-2265</v>
      </c>
      <c r="G15" s="17">
        <v>0</v>
      </c>
      <c r="H15" s="17">
        <v>2265</v>
      </c>
    </row>
    <row r="17" spans="2:8" x14ac:dyDescent="0.2">
      <c r="B17" s="61" t="s">
        <v>152</v>
      </c>
      <c r="C17" s="55">
        <v>-2500</v>
      </c>
      <c r="D17" s="55">
        <v>-2500</v>
      </c>
      <c r="E17" s="55">
        <v>-4742</v>
      </c>
      <c r="F17" s="18"/>
      <c r="G17" s="55">
        <v>0</v>
      </c>
      <c r="H17" s="55">
        <v>2242</v>
      </c>
    </row>
    <row r="18" spans="2:8" x14ac:dyDescent="0.2">
      <c r="B18" s="18"/>
      <c r="C18" s="55"/>
      <c r="D18" s="55"/>
      <c r="E18" s="55"/>
      <c r="F18" s="18"/>
      <c r="G18" s="55"/>
      <c r="H18" s="55"/>
    </row>
    <row r="19" spans="2:8" x14ac:dyDescent="0.2">
      <c r="B19" s="63" t="s">
        <v>99</v>
      </c>
      <c r="C19" s="64">
        <v>-2500</v>
      </c>
      <c r="D19" s="64">
        <v>-2500</v>
      </c>
      <c r="E19" s="64">
        <v>-1530</v>
      </c>
      <c r="F19" s="65"/>
      <c r="G19" s="64">
        <v>0</v>
      </c>
      <c r="H19" s="64">
        <v>-970</v>
      </c>
    </row>
    <row r="20" spans="2:8" x14ac:dyDescent="0.2">
      <c r="B20" s="61"/>
      <c r="C20" s="77"/>
      <c r="D20" s="77"/>
      <c r="E20" s="77"/>
      <c r="F20" s="18"/>
      <c r="G20" s="77"/>
      <c r="H20" s="77"/>
    </row>
    <row r="21" spans="2:8" x14ac:dyDescent="0.2">
      <c r="B21" s="62" t="s">
        <v>145</v>
      </c>
      <c r="C21" s="77"/>
      <c r="D21" s="77"/>
      <c r="E21" s="77"/>
      <c r="F21" s="18"/>
      <c r="G21" s="77"/>
      <c r="H21" s="77"/>
    </row>
    <row r="22" spans="2:8" s="13" customFormat="1" x14ac:dyDescent="0.2">
      <c r="B22" s="54"/>
      <c r="C22" s="78"/>
      <c r="D22" s="78"/>
      <c r="E22" s="78"/>
      <c r="G22" s="78"/>
      <c r="H22" s="78"/>
    </row>
    <row r="23" spans="2:8" s="13" customFormat="1" x14ac:dyDescent="0.2">
      <c r="B23" s="54" t="s">
        <v>102</v>
      </c>
      <c r="C23" s="78">
        <v>-4590</v>
      </c>
      <c r="D23" s="78">
        <v>-4500</v>
      </c>
      <c r="E23" s="78">
        <v>-4263</v>
      </c>
      <c r="G23" s="17">
        <v>-90</v>
      </c>
      <c r="H23" s="17">
        <v>-327</v>
      </c>
    </row>
    <row r="24" spans="2:8" s="13" customFormat="1" x14ac:dyDescent="0.2">
      <c r="B24" s="54" t="s">
        <v>103</v>
      </c>
      <c r="C24" s="78">
        <v>-12240</v>
      </c>
      <c r="D24" s="78">
        <v>-12000</v>
      </c>
      <c r="E24" s="78">
        <v>-9010.3799999999992</v>
      </c>
      <c r="G24" s="17">
        <v>-240</v>
      </c>
      <c r="H24" s="17">
        <v>-3229.6200000000008</v>
      </c>
    </row>
    <row r="25" spans="2:8" s="13" customFormat="1" x14ac:dyDescent="0.2">
      <c r="B25" s="54" t="s">
        <v>600</v>
      </c>
      <c r="C25" s="78">
        <v>-1632</v>
      </c>
      <c r="D25" s="78">
        <v>-1600</v>
      </c>
      <c r="E25" s="78">
        <v>-1569</v>
      </c>
      <c r="G25" s="17">
        <v>-32</v>
      </c>
      <c r="H25" s="17">
        <v>-63</v>
      </c>
    </row>
    <row r="26" spans="2:8" s="13" customFormat="1" x14ac:dyDescent="0.2">
      <c r="B26" s="54" t="s">
        <v>105</v>
      </c>
      <c r="C26" s="78">
        <v>-1020</v>
      </c>
      <c r="D26" s="78">
        <v>-1000</v>
      </c>
      <c r="E26" s="78">
        <v>-834.95</v>
      </c>
      <c r="G26" s="17">
        <v>-20</v>
      </c>
      <c r="H26" s="17">
        <v>-185.04999999999995</v>
      </c>
    </row>
    <row r="27" spans="2:8" s="13" customFormat="1" x14ac:dyDescent="0.2">
      <c r="B27" s="54" t="s">
        <v>106</v>
      </c>
      <c r="C27" s="78">
        <v>-3774</v>
      </c>
      <c r="D27" s="78">
        <v>-3700</v>
      </c>
      <c r="E27" s="78">
        <v>-3670.64</v>
      </c>
      <c r="G27" s="17">
        <v>-74</v>
      </c>
      <c r="H27" s="17">
        <v>-103.36000000000013</v>
      </c>
    </row>
    <row r="28" spans="2:8" s="13" customFormat="1" x14ac:dyDescent="0.2">
      <c r="B28" s="54" t="s">
        <v>599</v>
      </c>
      <c r="C28" s="78">
        <v>-8500</v>
      </c>
      <c r="D28" s="78">
        <v>-10000</v>
      </c>
      <c r="E28" s="78">
        <v>-11151.63</v>
      </c>
      <c r="G28" s="17">
        <v>1500</v>
      </c>
      <c r="H28" s="17">
        <v>2651.6299999999992</v>
      </c>
    </row>
    <row r="29" spans="2:8" s="13" customFormat="1" x14ac:dyDescent="0.2">
      <c r="B29" s="54" t="s">
        <v>108</v>
      </c>
      <c r="C29" s="78">
        <v>0</v>
      </c>
      <c r="D29" s="78">
        <v>0</v>
      </c>
      <c r="E29" s="78">
        <v>-333.41</v>
      </c>
      <c r="G29" s="17">
        <v>0</v>
      </c>
      <c r="H29" s="17">
        <v>333.41</v>
      </c>
    </row>
    <row r="30" spans="2:8" s="13" customFormat="1" x14ac:dyDescent="0.2">
      <c r="B30" s="54" t="s">
        <v>109</v>
      </c>
      <c r="C30" s="78">
        <v>-8568</v>
      </c>
      <c r="D30" s="78">
        <v>-8400</v>
      </c>
      <c r="E30" s="78">
        <v>-8333.33</v>
      </c>
      <c r="G30" s="17">
        <v>-168</v>
      </c>
      <c r="H30" s="17">
        <v>-234.67000000000007</v>
      </c>
    </row>
    <row r="31" spans="2:8" s="13" customFormat="1" x14ac:dyDescent="0.2">
      <c r="B31" s="54" t="s">
        <v>110</v>
      </c>
      <c r="C31" s="78">
        <v>-5100</v>
      </c>
      <c r="D31" s="78">
        <v>-5000</v>
      </c>
      <c r="E31" s="78">
        <v>-9301.1</v>
      </c>
      <c r="G31" s="17">
        <v>-100</v>
      </c>
      <c r="H31" s="17">
        <v>4201.1000000000004</v>
      </c>
    </row>
    <row r="32" spans="2:8" s="13" customFormat="1" x14ac:dyDescent="0.2">
      <c r="B32" s="54" t="s">
        <v>111</v>
      </c>
      <c r="C32" s="78">
        <v>-1836</v>
      </c>
      <c r="D32" s="78">
        <v>-1800</v>
      </c>
      <c r="E32" s="78">
        <v>-1953.95</v>
      </c>
      <c r="G32" s="17">
        <v>-36</v>
      </c>
      <c r="H32" s="17">
        <v>117.95000000000005</v>
      </c>
    </row>
    <row r="33" spans="2:8" s="13" customFormat="1" x14ac:dyDescent="0.2">
      <c r="B33" s="54" t="s">
        <v>598</v>
      </c>
      <c r="C33" s="78">
        <v>-13770</v>
      </c>
      <c r="D33" s="78">
        <v>-13500</v>
      </c>
      <c r="E33" s="78">
        <v>-13237.96</v>
      </c>
      <c r="G33" s="17">
        <v>-270</v>
      </c>
      <c r="H33" s="17">
        <v>-532.04000000000087</v>
      </c>
    </row>
    <row r="34" spans="2:8" s="13" customFormat="1" x14ac:dyDescent="0.2">
      <c r="B34" s="54" t="s">
        <v>115</v>
      </c>
      <c r="C34" s="78">
        <v>-4204.4400000000005</v>
      </c>
      <c r="D34" s="78">
        <v>-4122</v>
      </c>
      <c r="E34" s="78">
        <v>-4122</v>
      </c>
      <c r="G34" s="17">
        <v>-82.440000000000509</v>
      </c>
      <c r="H34" s="17">
        <v>-82.440000000000509</v>
      </c>
    </row>
    <row r="35" spans="2:8" s="13" customFormat="1" x14ac:dyDescent="0.2">
      <c r="B35" s="13" t="s">
        <v>597</v>
      </c>
      <c r="C35" s="78">
        <v>-74970</v>
      </c>
      <c r="D35" s="78">
        <v>-73500</v>
      </c>
      <c r="E35" s="78">
        <v>-73782.83</v>
      </c>
      <c r="G35" s="17">
        <v>-1470</v>
      </c>
      <c r="H35" s="17">
        <v>-1187.1699999999983</v>
      </c>
    </row>
    <row r="36" spans="2:8" s="13" customFormat="1" x14ac:dyDescent="0.2">
      <c r="B36" s="72" t="s">
        <v>117</v>
      </c>
      <c r="C36" s="78">
        <v>-1632</v>
      </c>
      <c r="D36" s="78">
        <v>-1600</v>
      </c>
      <c r="E36" s="78">
        <v>-2131.98</v>
      </c>
      <c r="G36" s="17">
        <v>-32</v>
      </c>
      <c r="H36" s="17">
        <v>499.98</v>
      </c>
    </row>
    <row r="37" spans="2:8" s="13" customFormat="1" x14ac:dyDescent="0.2">
      <c r="B37" s="13" t="s">
        <v>118</v>
      </c>
      <c r="C37" s="78">
        <v>-3060</v>
      </c>
      <c r="D37" s="78">
        <v>-3000</v>
      </c>
      <c r="E37" s="78">
        <v>-2442.6999999999998</v>
      </c>
      <c r="G37" s="17">
        <v>-60</v>
      </c>
      <c r="H37" s="17">
        <v>-617.30000000000018</v>
      </c>
    </row>
    <row r="38" spans="2:8" s="13" customFormat="1" x14ac:dyDescent="0.2">
      <c r="C38" s="14"/>
      <c r="D38" s="14"/>
      <c r="E38" s="14"/>
    </row>
    <row r="39" spans="2:8" s="13" customFormat="1" x14ac:dyDescent="0.2">
      <c r="B39" s="61" t="s">
        <v>184</v>
      </c>
      <c r="C39" s="55">
        <v>-144896.44</v>
      </c>
      <c r="D39" s="55">
        <v>-143722</v>
      </c>
      <c r="E39" s="55">
        <v>-146138.86000000002</v>
      </c>
      <c r="F39" s="18"/>
      <c r="G39" s="55">
        <v>-1174.4400000000005</v>
      </c>
      <c r="H39" s="55">
        <v>1242.4199999999987</v>
      </c>
    </row>
    <row r="40" spans="2:8" s="13" customFormat="1" x14ac:dyDescent="0.2">
      <c r="B40" s="61"/>
      <c r="C40" s="55"/>
      <c r="D40" s="55"/>
      <c r="E40" s="55"/>
      <c r="F40" s="18"/>
      <c r="G40" s="55"/>
      <c r="H40" s="55"/>
    </row>
    <row r="41" spans="2:8" s="13" customFormat="1" x14ac:dyDescent="0.2">
      <c r="B41" s="61" t="s">
        <v>120</v>
      </c>
      <c r="C41" s="55">
        <v>-147396.44</v>
      </c>
      <c r="D41" s="55">
        <v>-146222</v>
      </c>
      <c r="E41" s="55">
        <v>-147668.86000000002</v>
      </c>
      <c r="F41" s="18"/>
      <c r="G41" s="55">
        <v>-1174.4400000000005</v>
      </c>
      <c r="H41" s="55">
        <v>272.41999999999871</v>
      </c>
    </row>
    <row r="42" spans="2:8" s="13" customFormat="1" x14ac:dyDescent="0.2">
      <c r="C42" s="14"/>
      <c r="D42" s="14"/>
      <c r="E42" s="14"/>
    </row>
    <row r="43" spans="2:8" s="13" customFormat="1" hidden="1" x14ac:dyDescent="0.2">
      <c r="B43" s="62" t="s">
        <v>146</v>
      </c>
      <c r="C43" s="14"/>
      <c r="D43" s="14"/>
      <c r="E43" s="14"/>
    </row>
    <row r="44" spans="2:8" s="13" customFormat="1" hidden="1" x14ac:dyDescent="0.2">
      <c r="B44" s="61"/>
      <c r="C44" s="14"/>
      <c r="D44" s="14"/>
      <c r="E44" s="14"/>
    </row>
    <row r="45" spans="2:8" s="13" customFormat="1" hidden="1" x14ac:dyDescent="0.2">
      <c r="B45" s="54" t="s">
        <v>122</v>
      </c>
      <c r="C45" s="14">
        <v>250</v>
      </c>
      <c r="D45" s="14">
        <v>250</v>
      </c>
      <c r="E45" s="14">
        <v>12549.43</v>
      </c>
      <c r="G45" s="17">
        <v>0</v>
      </c>
      <c r="H45" s="17">
        <v>-12299.43</v>
      </c>
    </row>
    <row r="46" spans="2:8" s="13" customFormat="1" hidden="1" x14ac:dyDescent="0.2">
      <c r="B46" s="54" t="s">
        <v>123</v>
      </c>
      <c r="C46" s="14">
        <v>500</v>
      </c>
      <c r="D46" s="14">
        <v>500</v>
      </c>
      <c r="E46" s="14">
        <v>250</v>
      </c>
      <c r="G46" s="17">
        <v>0</v>
      </c>
      <c r="H46" s="17">
        <v>250</v>
      </c>
    </row>
    <row r="47" spans="2:8" s="13" customFormat="1" hidden="1" x14ac:dyDescent="0.2">
      <c r="B47" s="54" t="s">
        <v>125</v>
      </c>
      <c r="C47" s="14">
        <v>0</v>
      </c>
      <c r="D47" s="14">
        <v>0</v>
      </c>
      <c r="E47" s="14">
        <v>343.34</v>
      </c>
      <c r="G47" s="17">
        <v>0</v>
      </c>
      <c r="H47" s="17">
        <v>-343.34</v>
      </c>
    </row>
    <row r="48" spans="2:8" s="13" customFormat="1" hidden="1" x14ac:dyDescent="0.2">
      <c r="B48" s="54" t="s">
        <v>126</v>
      </c>
      <c r="C48" s="14">
        <v>0</v>
      </c>
      <c r="D48" s="14">
        <v>0</v>
      </c>
      <c r="E48" s="14">
        <v>41.67</v>
      </c>
      <c r="G48" s="17">
        <v>0</v>
      </c>
      <c r="H48" s="17">
        <v>-41.67</v>
      </c>
    </row>
    <row r="49" spans="1:8" s="13" customFormat="1" hidden="1" x14ac:dyDescent="0.2">
      <c r="B49" s="13" t="s">
        <v>127</v>
      </c>
      <c r="C49" s="14">
        <v>100</v>
      </c>
      <c r="D49" s="14">
        <v>100</v>
      </c>
      <c r="E49" s="14">
        <v>-10137.299999999999</v>
      </c>
      <c r="G49" s="17">
        <v>0</v>
      </c>
      <c r="H49" s="17">
        <v>10237.299999999999</v>
      </c>
    </row>
    <row r="50" spans="1:8" s="13" customFormat="1" hidden="1" x14ac:dyDescent="0.2">
      <c r="B50" s="13" t="s">
        <v>128</v>
      </c>
      <c r="C50" s="14">
        <v>0</v>
      </c>
      <c r="D50" s="14">
        <v>0</v>
      </c>
      <c r="E50" s="14">
        <v>95.43</v>
      </c>
      <c r="G50" s="17">
        <v>0</v>
      </c>
      <c r="H50" s="17">
        <v>-95.43</v>
      </c>
    </row>
    <row r="51" spans="1:8" s="13" customFormat="1" hidden="1" x14ac:dyDescent="0.2">
      <c r="B51" s="54" t="s">
        <v>186</v>
      </c>
      <c r="C51" s="14">
        <v>2000</v>
      </c>
      <c r="D51" s="14">
        <v>2000</v>
      </c>
      <c r="E51" s="14">
        <v>0</v>
      </c>
      <c r="G51" s="17">
        <v>0</v>
      </c>
      <c r="H51" s="17">
        <v>2000</v>
      </c>
    </row>
    <row r="52" spans="1:8" s="13" customFormat="1" hidden="1" x14ac:dyDescent="0.2">
      <c r="C52" s="14"/>
      <c r="D52" s="14"/>
      <c r="E52" s="14"/>
    </row>
    <row r="53" spans="1:8" s="13" customFormat="1" x14ac:dyDescent="0.2">
      <c r="B53" s="18" t="s">
        <v>185</v>
      </c>
      <c r="C53" s="55">
        <v>2850</v>
      </c>
      <c r="D53" s="55">
        <v>2850</v>
      </c>
      <c r="E53" s="55">
        <v>3142.5700000000011</v>
      </c>
      <c r="G53" s="55">
        <v>0</v>
      </c>
      <c r="H53" s="55">
        <v>-292.57000000000107</v>
      </c>
    </row>
    <row r="54" spans="1:8" s="13" customFormat="1" x14ac:dyDescent="0.2">
      <c r="C54" s="14"/>
      <c r="D54" s="14"/>
      <c r="E54" s="14"/>
    </row>
    <row r="55" spans="1:8" s="13" customFormat="1" x14ac:dyDescent="0.2">
      <c r="C55" s="14"/>
      <c r="D55" s="14"/>
      <c r="E55" s="14"/>
    </row>
    <row r="56" spans="1:8" ht="12.75" thickBot="1" x14ac:dyDescent="0.25">
      <c r="B56" s="20" t="s">
        <v>153</v>
      </c>
      <c r="C56" s="66">
        <v>-144546.44</v>
      </c>
      <c r="D56" s="66">
        <v>-143372</v>
      </c>
      <c r="E56" s="66">
        <v>-144526.29</v>
      </c>
      <c r="F56" s="67"/>
      <c r="G56" s="66">
        <v>-1174.4400000000005</v>
      </c>
      <c r="H56" s="66">
        <v>-20.150000000002365</v>
      </c>
    </row>
    <row r="57" spans="1:8" ht="12.75" thickTop="1" x14ac:dyDescent="0.2"/>
    <row r="59" spans="1:8" x14ac:dyDescent="0.2">
      <c r="B59" s="60" t="s">
        <v>158</v>
      </c>
    </row>
    <row r="61" spans="1:8" x14ac:dyDescent="0.2">
      <c r="A61">
        <v>1</v>
      </c>
      <c r="B61" s="13" t="s">
        <v>187</v>
      </c>
      <c r="C61" s="15">
        <v>-83470</v>
      </c>
      <c r="D61" s="15">
        <v>-83500</v>
      </c>
      <c r="E61" s="15">
        <v>-84934.46</v>
      </c>
      <c r="G61" s="17">
        <v>30</v>
      </c>
      <c r="H61" s="17">
        <v>1464.4600000000064</v>
      </c>
    </row>
    <row r="62" spans="1:8" x14ac:dyDescent="0.2">
      <c r="A62">
        <v>2</v>
      </c>
      <c r="B62" s="13" t="s">
        <v>189</v>
      </c>
      <c r="C62" s="15">
        <v>-17850</v>
      </c>
      <c r="D62" s="15">
        <v>-17500</v>
      </c>
      <c r="E62" s="15">
        <v>-14108.33</v>
      </c>
      <c r="G62" s="17">
        <v>-350</v>
      </c>
      <c r="H62" s="17">
        <v>-3741.67</v>
      </c>
    </row>
    <row r="63" spans="1:8" x14ac:dyDescent="0.2">
      <c r="A63">
        <v>4</v>
      </c>
      <c r="B63" s="13" t="s">
        <v>140</v>
      </c>
      <c r="C63" s="15">
        <v>-7600</v>
      </c>
      <c r="D63" s="15">
        <v>-7500</v>
      </c>
      <c r="E63" s="15">
        <v>-11778.1</v>
      </c>
      <c r="G63" s="17">
        <v>-100</v>
      </c>
      <c r="H63" s="17">
        <v>4178.1000000000004</v>
      </c>
    </row>
    <row r="64" spans="1:8" x14ac:dyDescent="0.2">
      <c r="A64">
        <v>7</v>
      </c>
      <c r="B64" s="13" t="s">
        <v>141</v>
      </c>
      <c r="C64" s="15">
        <v>-4204.4400000000005</v>
      </c>
      <c r="D64" s="15">
        <v>-4122</v>
      </c>
      <c r="E64" s="15">
        <v>-4122</v>
      </c>
      <c r="G64" s="17">
        <v>-82.440000000000509</v>
      </c>
      <c r="H64" s="17">
        <v>-82.440000000000509</v>
      </c>
    </row>
    <row r="65" spans="1:8" x14ac:dyDescent="0.2">
      <c r="A65">
        <v>5</v>
      </c>
      <c r="B65" s="13" t="s">
        <v>188</v>
      </c>
      <c r="C65" s="15">
        <v>-8874</v>
      </c>
      <c r="D65" s="15">
        <v>-8700</v>
      </c>
      <c r="E65" s="15">
        <v>-9325.57</v>
      </c>
      <c r="G65" s="17">
        <v>-174</v>
      </c>
      <c r="H65" s="17">
        <v>451.56999999999971</v>
      </c>
    </row>
    <row r="66" spans="1:8" x14ac:dyDescent="0.2">
      <c r="A66">
        <v>3</v>
      </c>
      <c r="B66" s="13" t="s">
        <v>114</v>
      </c>
      <c r="C66" s="15">
        <v>-13770</v>
      </c>
      <c r="D66" s="15">
        <v>-13500</v>
      </c>
      <c r="E66" s="15">
        <v>-13237.96</v>
      </c>
      <c r="G66" s="17">
        <v>-270</v>
      </c>
      <c r="H66" s="17">
        <v>-532.04000000000087</v>
      </c>
    </row>
    <row r="67" spans="1:8" x14ac:dyDescent="0.2">
      <c r="A67">
        <v>8</v>
      </c>
      <c r="B67" s="13" t="s">
        <v>108</v>
      </c>
      <c r="C67" s="15">
        <v>0</v>
      </c>
      <c r="D67" s="15">
        <v>0</v>
      </c>
      <c r="E67" s="15">
        <v>-333.41</v>
      </c>
      <c r="G67" s="17">
        <v>0</v>
      </c>
      <c r="H67" s="17">
        <v>333.41</v>
      </c>
    </row>
    <row r="68" spans="1:8" x14ac:dyDescent="0.2">
      <c r="A68">
        <v>6</v>
      </c>
      <c r="B68" s="13" t="s">
        <v>109</v>
      </c>
      <c r="C68" s="15">
        <v>-8568</v>
      </c>
      <c r="D68" s="15">
        <v>-8400</v>
      </c>
      <c r="E68" s="15">
        <v>-8333.33</v>
      </c>
      <c r="G68" s="17">
        <v>-168</v>
      </c>
      <c r="H68" s="17">
        <v>-234.67000000000007</v>
      </c>
    </row>
    <row r="69" spans="1:8" x14ac:dyDescent="0.2">
      <c r="A69">
        <v>9</v>
      </c>
      <c r="B69" s="13" t="s">
        <v>142</v>
      </c>
      <c r="C69" s="15">
        <v>-3060</v>
      </c>
      <c r="D69" s="15">
        <v>-3000</v>
      </c>
      <c r="E69" s="15">
        <v>-2442.6999999999998</v>
      </c>
      <c r="G69" s="17">
        <v>-60</v>
      </c>
      <c r="H69" s="17">
        <v>-617.30000000000018</v>
      </c>
    </row>
    <row r="70" spans="1:8" x14ac:dyDescent="0.2">
      <c r="A70">
        <v>10</v>
      </c>
      <c r="B70" s="13" t="s">
        <v>190</v>
      </c>
      <c r="C70" s="15">
        <v>2850</v>
      </c>
      <c r="D70" s="15">
        <v>2850</v>
      </c>
      <c r="E70" s="15">
        <v>4089.5700000000011</v>
      </c>
      <c r="G70" s="17">
        <v>0</v>
      </c>
      <c r="H70" s="17">
        <v>-1239.5700000000011</v>
      </c>
    </row>
    <row r="72" spans="1:8" s="18" customFormat="1" ht="12.75" thickBot="1" x14ac:dyDescent="0.25">
      <c r="B72" s="20" t="s">
        <v>172</v>
      </c>
      <c r="C72" s="66">
        <v>-144546.44</v>
      </c>
      <c r="D72" s="66">
        <v>-143372</v>
      </c>
      <c r="E72" s="66">
        <v>-144526.29</v>
      </c>
      <c r="F72" s="20"/>
      <c r="G72" s="66">
        <v>-1174.4400000000005</v>
      </c>
      <c r="H72" s="66">
        <v>-20.149999999996453</v>
      </c>
    </row>
    <row r="73" spans="1:8" ht="12.75" thickTop="1" x14ac:dyDescent="0.2"/>
    <row r="74" spans="1:8" s="68" customFormat="1" hidden="1" x14ac:dyDescent="0.2">
      <c r="B74" s="68" t="s">
        <v>171</v>
      </c>
      <c r="C74" s="57">
        <v>0</v>
      </c>
      <c r="D74" s="57">
        <v>0</v>
      </c>
      <c r="E74" s="57">
        <v>0</v>
      </c>
      <c r="G74" s="57">
        <v>0</v>
      </c>
      <c r="H74" s="57">
        <v>5.9117155615240335E-12</v>
      </c>
    </row>
  </sheetData>
  <pageMargins left="0.70866141732283472" right="0.70866141732283472"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1587-75FA-48C9-87A3-18B3A8E56588}">
  <sheetPr codeName="Sheet7">
    <pageSetUpPr fitToPage="1"/>
  </sheetPr>
  <dimension ref="B1:J77"/>
  <sheetViews>
    <sheetView zoomScaleNormal="100" workbookViewId="0">
      <pane ySplit="4" topLeftCell="A5" activePane="bottomLeft" state="frozen"/>
      <selection pane="bottomLeft" sqref="A1:XFD1048576"/>
    </sheetView>
  </sheetViews>
  <sheetFormatPr defaultRowHeight="12" x14ac:dyDescent="0.2"/>
  <cols>
    <col min="1" max="1" width="0.85546875" customWidth="1"/>
    <col min="2" max="2" width="38.42578125" bestFit="1" customWidth="1"/>
    <col min="3" max="3" width="8.5703125" style="15" bestFit="1" customWidth="1"/>
    <col min="4" max="4" width="10" style="15" bestFit="1" customWidth="1"/>
    <col min="5" max="5" width="8.5703125" style="15" bestFit="1" customWidth="1"/>
    <col min="6" max="6" width="5.140625" customWidth="1"/>
    <col min="7" max="7" width="10.42578125" bestFit="1" customWidth="1"/>
    <col min="8" max="8" width="10.42578125" hidden="1" customWidth="1"/>
    <col min="9" max="9" width="0" hidden="1" customWidth="1"/>
    <col min="10" max="10" width="64.28515625" style="115" hidden="1" customWidth="1"/>
    <col min="11" max="11" width="0" hidden="1" customWidth="1"/>
  </cols>
  <sheetData>
    <row r="1" spans="2:10" ht="20.25" thickBot="1" x14ac:dyDescent="0.45">
      <c r="B1" s="69" t="s">
        <v>580</v>
      </c>
      <c r="C1" s="70"/>
      <c r="D1" s="70"/>
      <c r="E1" s="70"/>
      <c r="F1" s="71"/>
      <c r="G1" s="71"/>
      <c r="H1" s="71"/>
      <c r="I1" s="71"/>
      <c r="J1" s="114"/>
    </row>
    <row r="3" spans="2:10" x14ac:dyDescent="0.2">
      <c r="C3" s="195">
        <v>2025</v>
      </c>
      <c r="D3" s="195">
        <v>2024</v>
      </c>
      <c r="E3" s="195">
        <v>2023</v>
      </c>
      <c r="F3" s="109"/>
      <c r="G3" s="109"/>
      <c r="H3" s="110"/>
      <c r="I3" s="110"/>
      <c r="J3" s="110"/>
    </row>
    <row r="4" spans="2:10" x14ac:dyDescent="0.2">
      <c r="B4" s="18"/>
      <c r="C4" s="196" t="s">
        <v>154</v>
      </c>
      <c r="D4" s="196" t="s">
        <v>157</v>
      </c>
      <c r="E4" s="196" t="s">
        <v>577</v>
      </c>
      <c r="F4" s="55"/>
      <c r="G4" s="59" t="s">
        <v>246</v>
      </c>
      <c r="H4" s="59" t="s">
        <v>584</v>
      </c>
      <c r="I4" s="59"/>
      <c r="J4" s="59"/>
    </row>
    <row r="5" spans="2:10" x14ac:dyDescent="0.2">
      <c r="C5" s="14"/>
      <c r="D5" s="14"/>
      <c r="E5" s="14"/>
      <c r="G5" s="58"/>
      <c r="H5" s="58"/>
    </row>
    <row r="6" spans="2:10" x14ac:dyDescent="0.2">
      <c r="B6" s="60" t="s">
        <v>143</v>
      </c>
    </row>
    <row r="8" spans="2:10" ht="12.75" x14ac:dyDescent="0.2">
      <c r="B8" s="18" t="s">
        <v>155</v>
      </c>
      <c r="C8" s="55">
        <v>90000</v>
      </c>
      <c r="D8" s="55">
        <v>90750</v>
      </c>
      <c r="E8" s="55">
        <v>91520.63</v>
      </c>
      <c r="G8" s="17">
        <v>-750</v>
      </c>
      <c r="H8" s="17">
        <v>-1520.6300000000047</v>
      </c>
      <c r="J8" s="123" t="s">
        <v>261</v>
      </c>
    </row>
    <row r="9" spans="2:10" hidden="1" x14ac:dyDescent="0.2">
      <c r="B9" s="56" t="s">
        <v>7</v>
      </c>
      <c r="C9" s="57"/>
      <c r="D9" s="57">
        <v>25000</v>
      </c>
      <c r="E9" s="57"/>
      <c r="G9" s="17">
        <v>-25000</v>
      </c>
      <c r="H9" s="17">
        <v>0</v>
      </c>
    </row>
    <row r="10" spans="2:10" hidden="1" x14ac:dyDescent="0.2">
      <c r="B10" s="56" t="s">
        <v>8</v>
      </c>
      <c r="C10" s="57"/>
      <c r="D10" s="57">
        <v>65000</v>
      </c>
      <c r="E10" s="57"/>
      <c r="G10" s="17">
        <v>-65000</v>
      </c>
      <c r="H10" s="17">
        <v>0</v>
      </c>
    </row>
    <row r="11" spans="2:10" hidden="1" x14ac:dyDescent="0.2">
      <c r="B11" s="56" t="s">
        <v>9</v>
      </c>
      <c r="C11" s="57"/>
      <c r="D11" s="57">
        <v>750</v>
      </c>
      <c r="E11" s="57"/>
      <c r="G11" s="17">
        <v>-750</v>
      </c>
      <c r="H11" s="17">
        <v>0</v>
      </c>
    </row>
    <row r="12" spans="2:10" x14ac:dyDescent="0.2">
      <c r="B12" s="52" t="s">
        <v>167</v>
      </c>
      <c r="C12" s="15">
        <v>3800</v>
      </c>
      <c r="D12" s="15">
        <v>3400</v>
      </c>
      <c r="E12" s="15">
        <v>3175.08</v>
      </c>
      <c r="G12" s="17">
        <v>400</v>
      </c>
      <c r="H12" s="17">
        <v>624.92000000000007</v>
      </c>
    </row>
    <row r="13" spans="2:10" ht="12.75" x14ac:dyDescent="0.2">
      <c r="B13" s="52" t="s">
        <v>601</v>
      </c>
      <c r="C13" s="15">
        <v>7800</v>
      </c>
      <c r="D13" s="15">
        <v>7500</v>
      </c>
      <c r="E13" s="15">
        <v>4948.68</v>
      </c>
      <c r="G13" s="17">
        <v>300</v>
      </c>
      <c r="H13" s="17">
        <v>2851.3199999999997</v>
      </c>
      <c r="J13" s="123" t="s">
        <v>263</v>
      </c>
    </row>
    <row r="14" spans="2:10" ht="12.75" x14ac:dyDescent="0.2">
      <c r="B14" s="52" t="s">
        <v>602</v>
      </c>
      <c r="C14" s="15">
        <v>4000</v>
      </c>
      <c r="D14" s="15">
        <v>3800</v>
      </c>
      <c r="E14" s="15">
        <v>3476.69</v>
      </c>
      <c r="G14" s="17">
        <v>200</v>
      </c>
      <c r="H14" s="17">
        <v>523.30999999999995</v>
      </c>
      <c r="J14" s="123" t="s">
        <v>262</v>
      </c>
    </row>
    <row r="15" spans="2:10" ht="12.75" x14ac:dyDescent="0.2">
      <c r="B15" s="52" t="s">
        <v>611</v>
      </c>
      <c r="C15" s="15">
        <v>5400</v>
      </c>
      <c r="D15" s="15">
        <v>7000</v>
      </c>
      <c r="E15" s="15">
        <v>1880.04</v>
      </c>
      <c r="G15" s="17">
        <v>-1600</v>
      </c>
      <c r="H15" s="17">
        <v>3519.96</v>
      </c>
      <c r="J15" s="123"/>
    </row>
    <row r="16" spans="2:10" x14ac:dyDescent="0.2">
      <c r="B16" s="52" t="s">
        <v>285</v>
      </c>
      <c r="C16" s="15">
        <v>12000</v>
      </c>
      <c r="D16" s="15">
        <v>12000</v>
      </c>
      <c r="E16" s="15">
        <v>3020.34</v>
      </c>
      <c r="G16" s="17">
        <v>0</v>
      </c>
      <c r="H16" s="17">
        <v>8979.66</v>
      </c>
    </row>
    <row r="17" spans="2:10" x14ac:dyDescent="0.2">
      <c r="B17" s="52" t="s">
        <v>610</v>
      </c>
      <c r="C17" s="15">
        <v>1700</v>
      </c>
      <c r="D17" s="15">
        <v>2000</v>
      </c>
      <c r="E17" s="15">
        <v>3615.79</v>
      </c>
      <c r="G17" s="17">
        <v>-300</v>
      </c>
      <c r="H17" s="17">
        <v>-1915.79</v>
      </c>
    </row>
    <row r="18" spans="2:10" x14ac:dyDescent="0.2">
      <c r="B18" s="52" t="s">
        <v>166</v>
      </c>
      <c r="C18" s="15">
        <v>1550</v>
      </c>
      <c r="D18" s="15">
        <v>1550</v>
      </c>
      <c r="E18" s="15">
        <v>807.42</v>
      </c>
      <c r="G18" s="17">
        <v>0</v>
      </c>
      <c r="H18" s="17">
        <v>742.58</v>
      </c>
    </row>
    <row r="19" spans="2:10" x14ac:dyDescent="0.2">
      <c r="B19" s="54" t="s">
        <v>603</v>
      </c>
      <c r="C19" s="15">
        <v>3600</v>
      </c>
      <c r="D19" s="15">
        <v>3616</v>
      </c>
      <c r="E19" s="15">
        <v>0</v>
      </c>
      <c r="G19" s="17">
        <v>-16</v>
      </c>
      <c r="H19" s="17">
        <v>3600</v>
      </c>
    </row>
    <row r="20" spans="2:10" x14ac:dyDescent="0.2">
      <c r="B20" s="52" t="s">
        <v>146</v>
      </c>
      <c r="C20" s="15">
        <v>1000</v>
      </c>
      <c r="D20" s="15">
        <v>0</v>
      </c>
      <c r="E20" s="15">
        <v>703.31</v>
      </c>
      <c r="G20" s="17">
        <v>1000</v>
      </c>
      <c r="H20" s="17">
        <v>296.69000000000005</v>
      </c>
    </row>
    <row r="21" spans="2:10" x14ac:dyDescent="0.2">
      <c r="B21" s="53"/>
    </row>
    <row r="22" spans="2:10" x14ac:dyDescent="0.2">
      <c r="B22" s="61" t="s">
        <v>151</v>
      </c>
      <c r="C22" s="55">
        <v>130850</v>
      </c>
      <c r="D22" s="55">
        <v>131616</v>
      </c>
      <c r="E22" s="55">
        <v>113147.98000000001</v>
      </c>
      <c r="F22" s="18"/>
      <c r="G22" s="55">
        <v>-766</v>
      </c>
      <c r="H22" s="55">
        <v>17702.019999999993</v>
      </c>
      <c r="J22" s="124"/>
    </row>
    <row r="24" spans="2:10" x14ac:dyDescent="0.2">
      <c r="B24" s="62" t="s">
        <v>150</v>
      </c>
    </row>
    <row r="26" spans="2:10" x14ac:dyDescent="0.2">
      <c r="B26" s="18" t="s">
        <v>156</v>
      </c>
      <c r="C26" s="55">
        <v>-105000</v>
      </c>
      <c r="D26" s="55">
        <v>-104850</v>
      </c>
      <c r="E26" s="55">
        <v>-99695.81</v>
      </c>
      <c r="G26" s="17">
        <v>-150</v>
      </c>
      <c r="H26" s="17">
        <v>-5304.1900000000023</v>
      </c>
      <c r="J26" t="s">
        <v>264</v>
      </c>
    </row>
    <row r="27" spans="2:10" hidden="1" x14ac:dyDescent="0.2">
      <c r="B27" s="56" t="s">
        <v>51</v>
      </c>
      <c r="C27" s="57"/>
      <c r="D27" s="57">
        <v>-4000</v>
      </c>
      <c r="E27" s="57"/>
    </row>
    <row r="28" spans="2:10" hidden="1" x14ac:dyDescent="0.2">
      <c r="B28" s="56" t="s">
        <v>236</v>
      </c>
      <c r="C28" s="57"/>
      <c r="D28" s="57">
        <v>-1500</v>
      </c>
      <c r="E28" s="57"/>
    </row>
    <row r="29" spans="2:10" hidden="1" x14ac:dyDescent="0.2">
      <c r="B29" s="56" t="s">
        <v>52</v>
      </c>
      <c r="C29" s="57"/>
      <c r="D29" s="57">
        <v>-10500</v>
      </c>
      <c r="E29" s="57"/>
    </row>
    <row r="30" spans="2:10" hidden="1" x14ac:dyDescent="0.2">
      <c r="B30" s="56" t="s">
        <v>53</v>
      </c>
      <c r="C30" s="57"/>
      <c r="D30" s="57">
        <v>-27500</v>
      </c>
      <c r="E30" s="57"/>
    </row>
    <row r="31" spans="2:10" hidden="1" x14ac:dyDescent="0.2">
      <c r="B31" s="56" t="s">
        <v>54</v>
      </c>
      <c r="C31" s="57"/>
      <c r="D31" s="57">
        <v>-2500</v>
      </c>
      <c r="E31" s="57"/>
    </row>
    <row r="32" spans="2:10" hidden="1" x14ac:dyDescent="0.2">
      <c r="B32" s="56" t="s">
        <v>55</v>
      </c>
      <c r="C32" s="57"/>
      <c r="D32" s="57">
        <v>-650</v>
      </c>
      <c r="E32" s="57"/>
    </row>
    <row r="33" spans="2:8" hidden="1" x14ac:dyDescent="0.2">
      <c r="B33" s="56" t="s">
        <v>56</v>
      </c>
      <c r="C33" s="57"/>
      <c r="D33" s="57">
        <v>-35000</v>
      </c>
      <c r="E33" s="57"/>
    </row>
    <row r="34" spans="2:8" hidden="1" x14ac:dyDescent="0.2">
      <c r="B34" s="56" t="s">
        <v>57</v>
      </c>
      <c r="C34" s="57"/>
      <c r="D34" s="57">
        <v>-1200</v>
      </c>
      <c r="E34" s="57"/>
    </row>
    <row r="35" spans="2:8" hidden="1" x14ac:dyDescent="0.2">
      <c r="B35" s="56" t="s">
        <v>58</v>
      </c>
      <c r="C35" s="57"/>
      <c r="D35" s="57">
        <v>-15500</v>
      </c>
      <c r="E35" s="57"/>
    </row>
    <row r="36" spans="2:8" hidden="1" x14ac:dyDescent="0.2">
      <c r="B36" s="56" t="s">
        <v>59</v>
      </c>
      <c r="C36" s="57"/>
      <c r="D36" s="57">
        <v>-5000</v>
      </c>
      <c r="E36" s="57"/>
    </row>
    <row r="37" spans="2:8" hidden="1" x14ac:dyDescent="0.2">
      <c r="B37" s="56" t="s">
        <v>60</v>
      </c>
      <c r="C37" s="57"/>
      <c r="D37" s="57">
        <v>-1500</v>
      </c>
      <c r="E37" s="57"/>
    </row>
    <row r="38" spans="2:8" x14ac:dyDescent="0.2">
      <c r="B38" s="52" t="s">
        <v>606</v>
      </c>
      <c r="C38" s="15">
        <v>-15500</v>
      </c>
      <c r="D38" s="15">
        <v>-15100</v>
      </c>
      <c r="E38" s="15">
        <v>-12238.32</v>
      </c>
      <c r="G38" s="17">
        <v>-400</v>
      </c>
      <c r="H38" s="17">
        <v>-3261.6800000000003</v>
      </c>
    </row>
    <row r="39" spans="2:8" x14ac:dyDescent="0.2">
      <c r="B39" s="52" t="s">
        <v>615</v>
      </c>
      <c r="C39" s="15">
        <v>-13000</v>
      </c>
      <c r="D39" s="15">
        <v>-12435</v>
      </c>
      <c r="E39" s="15">
        <v>-9770.67</v>
      </c>
      <c r="G39" s="17">
        <v>-565</v>
      </c>
      <c r="H39" s="17">
        <v>-3229.33</v>
      </c>
    </row>
    <row r="40" spans="2:8" x14ac:dyDescent="0.2">
      <c r="B40" s="52" t="s">
        <v>612</v>
      </c>
      <c r="C40" s="15">
        <v>-8200</v>
      </c>
      <c r="D40" s="15">
        <v>-8200</v>
      </c>
      <c r="E40" s="15">
        <v>-8524.1299999999992</v>
      </c>
      <c r="G40" s="17">
        <v>0</v>
      </c>
      <c r="H40" s="17">
        <v>324.1299999999992</v>
      </c>
    </row>
    <row r="41" spans="2:8" x14ac:dyDescent="0.2">
      <c r="B41" s="52" t="s">
        <v>613</v>
      </c>
      <c r="C41" s="15">
        <v>-5400</v>
      </c>
      <c r="D41" s="15">
        <v>-4600</v>
      </c>
      <c r="E41" s="15">
        <v>-1453.47</v>
      </c>
      <c r="G41" s="17"/>
      <c r="H41" s="17"/>
    </row>
    <row r="42" spans="2:8" x14ac:dyDescent="0.2">
      <c r="B42" s="52" t="s">
        <v>609</v>
      </c>
      <c r="C42" s="15">
        <v>-15000</v>
      </c>
      <c r="D42" s="15">
        <v>-15000</v>
      </c>
      <c r="E42" s="15">
        <v>-10031.49</v>
      </c>
      <c r="G42" s="17">
        <v>0</v>
      </c>
      <c r="H42" s="17">
        <v>-4968.51</v>
      </c>
    </row>
    <row r="43" spans="2:8" x14ac:dyDescent="0.2">
      <c r="B43" s="52" t="s">
        <v>604</v>
      </c>
      <c r="C43" s="15">
        <v>-2000</v>
      </c>
      <c r="D43" s="15">
        <v>-1500</v>
      </c>
      <c r="E43" s="15">
        <v>-1626.24</v>
      </c>
      <c r="G43" s="17">
        <v>-500</v>
      </c>
      <c r="H43" s="17">
        <v>-373.76</v>
      </c>
    </row>
    <row r="44" spans="2:8" x14ac:dyDescent="0.2">
      <c r="B44" s="52" t="s">
        <v>605</v>
      </c>
      <c r="C44" s="15">
        <v>-2000</v>
      </c>
      <c r="D44" s="15">
        <v>-1550</v>
      </c>
      <c r="E44" s="15">
        <v>-1406.75</v>
      </c>
      <c r="G44" s="17">
        <v>-450</v>
      </c>
      <c r="H44" s="17">
        <v>-593.25</v>
      </c>
    </row>
    <row r="45" spans="2:8" x14ac:dyDescent="0.2">
      <c r="B45" s="54" t="s">
        <v>603</v>
      </c>
      <c r="C45" s="15">
        <v>-5000</v>
      </c>
      <c r="D45" s="15">
        <v>-5271</v>
      </c>
      <c r="E45" s="15">
        <v>0</v>
      </c>
      <c r="G45" s="17">
        <v>271</v>
      </c>
      <c r="H45" s="17">
        <v>-5000</v>
      </c>
    </row>
    <row r="46" spans="2:8" x14ac:dyDescent="0.2">
      <c r="B46" s="52" t="s">
        <v>614</v>
      </c>
      <c r="C46" s="15">
        <v>-1500</v>
      </c>
      <c r="D46" s="15">
        <v>-1400</v>
      </c>
      <c r="E46" s="15">
        <v>-1324.64</v>
      </c>
      <c r="G46" s="17">
        <v>-100</v>
      </c>
      <c r="H46" s="17">
        <v>-175.3599999999999</v>
      </c>
    </row>
    <row r="47" spans="2:8" x14ac:dyDescent="0.2">
      <c r="B47" s="54" t="s">
        <v>237</v>
      </c>
      <c r="C47" s="15">
        <v>-2000</v>
      </c>
      <c r="D47" s="15">
        <v>-2000</v>
      </c>
      <c r="E47" s="15">
        <v>0</v>
      </c>
      <c r="G47" s="17">
        <v>0</v>
      </c>
      <c r="H47" s="17">
        <v>-2000</v>
      </c>
    </row>
    <row r="48" spans="2:8" x14ac:dyDescent="0.2">
      <c r="B48" s="52" t="s">
        <v>607</v>
      </c>
      <c r="D48" s="15">
        <v>-2000</v>
      </c>
      <c r="E48" s="15">
        <v>-6029.03</v>
      </c>
      <c r="G48" s="17">
        <v>2000</v>
      </c>
      <c r="H48" s="17">
        <v>6029.03</v>
      </c>
    </row>
    <row r="49" spans="2:10" x14ac:dyDescent="0.2">
      <c r="B49" s="52" t="s">
        <v>608</v>
      </c>
      <c r="C49" s="15">
        <v>-5300</v>
      </c>
      <c r="D49" s="15">
        <v>-3200</v>
      </c>
      <c r="E49" s="15">
        <v>-5888.4</v>
      </c>
      <c r="G49" s="17">
        <v>-2100</v>
      </c>
      <c r="H49" s="17">
        <v>588.39999999999964</v>
      </c>
    </row>
    <row r="51" spans="2:10" x14ac:dyDescent="0.2">
      <c r="B51" s="61" t="s">
        <v>152</v>
      </c>
      <c r="C51" s="55">
        <v>-179900</v>
      </c>
      <c r="D51" s="55">
        <v>-177106</v>
      </c>
      <c r="E51" s="55">
        <v>-157988.94999999998</v>
      </c>
      <c r="F51" s="18"/>
      <c r="G51" s="55">
        <v>-1994</v>
      </c>
      <c r="H51" s="55">
        <v>-17964.520000000004</v>
      </c>
    </row>
    <row r="52" spans="2:10" x14ac:dyDescent="0.2">
      <c r="B52" s="18"/>
      <c r="C52" s="55"/>
      <c r="D52" s="55"/>
      <c r="E52" s="55"/>
      <c r="F52" s="18"/>
      <c r="G52" s="55"/>
      <c r="H52" s="55"/>
    </row>
    <row r="53" spans="2:10" x14ac:dyDescent="0.2">
      <c r="B53" s="63" t="s">
        <v>99</v>
      </c>
      <c r="C53" s="64">
        <v>-49050</v>
      </c>
      <c r="D53" s="64">
        <v>-45490</v>
      </c>
      <c r="E53" s="64">
        <v>-44840.969999999972</v>
      </c>
      <c r="F53" s="65"/>
      <c r="G53" s="64">
        <v>-2760</v>
      </c>
      <c r="H53" s="64">
        <v>-262.50000000001091</v>
      </c>
      <c r="J53" s="124"/>
    </row>
    <row r="55" spans="2:10" x14ac:dyDescent="0.2">
      <c r="B55" s="52" t="s">
        <v>124</v>
      </c>
      <c r="C55" s="15">
        <v>1000</v>
      </c>
      <c r="D55" s="15">
        <v>1000</v>
      </c>
      <c r="E55" s="15">
        <v>179.2</v>
      </c>
      <c r="G55" s="17">
        <v>0</v>
      </c>
      <c r="H55" s="17">
        <v>820.8</v>
      </c>
    </row>
    <row r="57" spans="2:10" ht="12.75" thickBot="1" x14ac:dyDescent="0.25">
      <c r="B57" s="20" t="s">
        <v>153</v>
      </c>
      <c r="C57" s="66">
        <v>-48050</v>
      </c>
      <c r="D57" s="66">
        <v>-44490</v>
      </c>
      <c r="E57" s="66">
        <v>-44661.769999999975</v>
      </c>
      <c r="F57" s="67"/>
      <c r="G57" s="66">
        <v>-2760</v>
      </c>
      <c r="H57" s="66">
        <v>558.29999999998904</v>
      </c>
    </row>
    <row r="58" spans="2:10" ht="12.75" thickTop="1" x14ac:dyDescent="0.2"/>
    <row r="60" spans="2:10" x14ac:dyDescent="0.2">
      <c r="B60" s="60" t="s">
        <v>158</v>
      </c>
    </row>
    <row r="62" spans="2:10" x14ac:dyDescent="0.2">
      <c r="B62" s="13" t="s">
        <v>159</v>
      </c>
      <c r="C62" s="15">
        <v>-15000</v>
      </c>
      <c r="D62" s="15">
        <v>-14100</v>
      </c>
      <c r="E62" s="15">
        <v>-8175.179999999993</v>
      </c>
      <c r="G62" s="17">
        <v>-900</v>
      </c>
      <c r="H62" s="17">
        <v>-6824.820000000007</v>
      </c>
    </row>
    <row r="63" spans="2:10" x14ac:dyDescent="0.2">
      <c r="B63" s="13" t="s">
        <v>167</v>
      </c>
      <c r="C63" s="15">
        <v>-11700</v>
      </c>
      <c r="D63" s="15">
        <v>-11700</v>
      </c>
      <c r="E63" s="15">
        <v>-9063.24</v>
      </c>
      <c r="G63" s="17">
        <v>0</v>
      </c>
      <c r="H63" s="17"/>
    </row>
    <row r="64" spans="2:10" x14ac:dyDescent="0.2">
      <c r="B64" s="13" t="s">
        <v>160</v>
      </c>
      <c r="C64" s="15">
        <v>-5200</v>
      </c>
      <c r="D64" s="15">
        <v>-4935</v>
      </c>
      <c r="E64" s="15">
        <v>-4821.99</v>
      </c>
      <c r="G64" s="17">
        <v>-265</v>
      </c>
      <c r="H64" s="17">
        <v>-378.01000000000022</v>
      </c>
    </row>
    <row r="65" spans="2:10" x14ac:dyDescent="0.2">
      <c r="B65" s="13" t="s">
        <v>161</v>
      </c>
      <c r="C65" s="15">
        <v>-4200</v>
      </c>
      <c r="D65" s="15">
        <v>-4400</v>
      </c>
      <c r="E65" s="15">
        <v>-5047.4399999999987</v>
      </c>
      <c r="G65" s="17">
        <v>200</v>
      </c>
      <c r="H65" s="17">
        <v>847.43999999999869</v>
      </c>
    </row>
    <row r="66" spans="2:10" x14ac:dyDescent="0.2">
      <c r="B66" s="13" t="s">
        <v>611</v>
      </c>
      <c r="C66" s="15">
        <v>0</v>
      </c>
      <c r="D66" s="15">
        <v>2400</v>
      </c>
      <c r="E66" s="15">
        <v>426.56999999999994</v>
      </c>
      <c r="G66" s="15">
        <v>-1600</v>
      </c>
      <c r="H66" s="15">
        <v>3519.96</v>
      </c>
    </row>
    <row r="67" spans="2:10" x14ac:dyDescent="0.2">
      <c r="B67" s="13" t="s">
        <v>164</v>
      </c>
      <c r="C67" s="15">
        <v>-3000</v>
      </c>
      <c r="D67" s="15">
        <v>-3000</v>
      </c>
      <c r="E67" s="15">
        <v>-7011.15</v>
      </c>
      <c r="G67" s="17">
        <v>0</v>
      </c>
      <c r="H67" s="17">
        <v>4011.1499999999996</v>
      </c>
    </row>
    <row r="68" spans="2:10" x14ac:dyDescent="0.2">
      <c r="B68" s="13" t="s">
        <v>165</v>
      </c>
      <c r="C68" s="15">
        <v>-300</v>
      </c>
      <c r="D68" s="15">
        <v>500</v>
      </c>
      <c r="E68" s="15">
        <v>1989.55</v>
      </c>
      <c r="G68" s="17">
        <v>-800</v>
      </c>
      <c r="H68" s="17">
        <v>-2289.5500000000002</v>
      </c>
    </row>
    <row r="69" spans="2:10" x14ac:dyDescent="0.2">
      <c r="B69" s="13" t="s">
        <v>166</v>
      </c>
      <c r="C69" s="15">
        <v>-450</v>
      </c>
      <c r="D69" s="15">
        <v>0</v>
      </c>
      <c r="E69" s="15">
        <v>-599.33000000000004</v>
      </c>
      <c r="G69" s="17">
        <v>-450</v>
      </c>
      <c r="H69" s="17">
        <v>149.33000000000004</v>
      </c>
    </row>
    <row r="70" spans="2:10" x14ac:dyDescent="0.2">
      <c r="B70" s="13" t="s">
        <v>238</v>
      </c>
      <c r="C70" s="15">
        <v>-1400</v>
      </c>
      <c r="D70" s="15">
        <v>-1655</v>
      </c>
      <c r="E70" s="15">
        <v>0</v>
      </c>
      <c r="G70" s="17">
        <v>255</v>
      </c>
      <c r="H70" s="17">
        <v>-2636.76</v>
      </c>
    </row>
    <row r="71" spans="2:10" x14ac:dyDescent="0.2">
      <c r="B71" s="13" t="s">
        <v>237</v>
      </c>
      <c r="C71" s="15">
        <v>-2000</v>
      </c>
      <c r="D71" s="15">
        <v>-2000</v>
      </c>
      <c r="E71" s="15">
        <v>0</v>
      </c>
      <c r="G71" s="17">
        <v>0</v>
      </c>
      <c r="H71" s="17"/>
    </row>
    <row r="72" spans="2:10" x14ac:dyDescent="0.2">
      <c r="B72" s="13" t="s">
        <v>168</v>
      </c>
      <c r="C72" s="15">
        <v>0</v>
      </c>
      <c r="D72" s="15">
        <v>-2000</v>
      </c>
      <c r="E72" s="15">
        <v>-6029.03</v>
      </c>
      <c r="G72" s="17">
        <v>2000</v>
      </c>
      <c r="H72" s="17">
        <v>6029.03</v>
      </c>
    </row>
    <row r="73" spans="2:10" x14ac:dyDescent="0.2">
      <c r="B73" s="13" t="s">
        <v>170</v>
      </c>
      <c r="C73" s="15">
        <v>-4800</v>
      </c>
      <c r="D73" s="15">
        <v>-3600</v>
      </c>
      <c r="E73" s="15">
        <v>-6330.5300000000007</v>
      </c>
      <c r="G73" s="17">
        <v>-1200</v>
      </c>
      <c r="H73" s="17">
        <v>1530.5300000000007</v>
      </c>
    </row>
    <row r="75" spans="2:10" s="18" customFormat="1" ht="12.75" thickBot="1" x14ac:dyDescent="0.25">
      <c r="B75" s="20" t="s">
        <v>172</v>
      </c>
      <c r="C75" s="66">
        <v>-48050</v>
      </c>
      <c r="D75" s="66">
        <v>-44490</v>
      </c>
      <c r="E75" s="66">
        <v>-44661.76999999999</v>
      </c>
      <c r="F75" s="20"/>
      <c r="G75" s="66">
        <v>-2760</v>
      </c>
      <c r="H75" s="66">
        <v>3958.2999999999911</v>
      </c>
      <c r="J75" s="116"/>
    </row>
    <row r="76" spans="2:10" ht="12.75" thickTop="1" x14ac:dyDescent="0.2"/>
    <row r="77" spans="2:10" s="68" customFormat="1" hidden="1" x14ac:dyDescent="0.2">
      <c r="B77" s="68" t="s">
        <v>171</v>
      </c>
      <c r="C77" s="57">
        <v>0</v>
      </c>
      <c r="D77" s="57">
        <v>0</v>
      </c>
      <c r="E77" s="57">
        <v>0</v>
      </c>
      <c r="G77" s="57">
        <v>0</v>
      </c>
      <c r="H77" s="57">
        <v>3400.0000000000018</v>
      </c>
      <c r="J77" s="117"/>
    </row>
  </sheetData>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D82-C014-4A55-A3DF-B79FB858403D}">
  <sheetPr codeName="Sheet8">
    <pageSetUpPr fitToPage="1"/>
  </sheetPr>
  <dimension ref="B1:J75"/>
  <sheetViews>
    <sheetView zoomScaleNormal="100" workbookViewId="0">
      <pane ySplit="4" topLeftCell="A5" activePane="bottomLeft" state="frozen"/>
      <selection pane="bottomLeft" activeCell="E8" sqref="E8"/>
    </sheetView>
  </sheetViews>
  <sheetFormatPr defaultRowHeight="12" x14ac:dyDescent="0.2"/>
  <cols>
    <col min="1" max="1" width="0.85546875" customWidth="1"/>
    <col min="2" max="2" width="38.140625" customWidth="1"/>
    <col min="3" max="3" width="7.5703125" style="80" bestFit="1" customWidth="1"/>
    <col min="4" max="4" width="10" style="15" bestFit="1" customWidth="1"/>
    <col min="5" max="5" width="7.5703125" style="15" bestFit="1" customWidth="1"/>
    <col min="6" max="6" width="4.42578125" customWidth="1"/>
    <col min="7" max="8" width="10.42578125" bestFit="1" customWidth="1"/>
    <col min="9" max="9" width="0" hidden="1" customWidth="1"/>
    <col min="10" max="10" width="50.5703125" hidden="1" customWidth="1"/>
    <col min="11" max="11" width="0" hidden="1" customWidth="1"/>
  </cols>
  <sheetData>
    <row r="1" spans="2:10" ht="20.25" thickBot="1" x14ac:dyDescent="0.45">
      <c r="B1" s="69" t="s">
        <v>581</v>
      </c>
      <c r="C1" s="81"/>
      <c r="D1" s="70"/>
      <c r="E1" s="70"/>
      <c r="F1" s="71"/>
      <c r="G1" s="71"/>
      <c r="H1" s="71"/>
      <c r="I1" s="71"/>
      <c r="J1" s="71"/>
    </row>
    <row r="3" spans="2:10" x14ac:dyDescent="0.2">
      <c r="C3" s="195">
        <v>2025</v>
      </c>
      <c r="D3" s="195">
        <v>2024</v>
      </c>
      <c r="E3" s="195">
        <v>2023</v>
      </c>
      <c r="F3" s="109"/>
      <c r="G3" s="109"/>
      <c r="H3" s="110"/>
      <c r="I3" s="110"/>
      <c r="J3" s="110"/>
    </row>
    <row r="4" spans="2:10" x14ac:dyDescent="0.2">
      <c r="B4" s="18"/>
      <c r="C4" s="196" t="s">
        <v>154</v>
      </c>
      <c r="D4" s="196" t="s">
        <v>157</v>
      </c>
      <c r="E4" s="196" t="s">
        <v>577</v>
      </c>
      <c r="F4" s="55"/>
      <c r="G4" s="59" t="s">
        <v>246</v>
      </c>
      <c r="H4" s="59" t="s">
        <v>584</v>
      </c>
      <c r="I4" s="59"/>
      <c r="J4" s="59"/>
    </row>
    <row r="5" spans="2:10" x14ac:dyDescent="0.2">
      <c r="C5" s="58"/>
      <c r="D5" s="14"/>
      <c r="E5" s="14"/>
      <c r="G5" s="58"/>
      <c r="H5" s="58"/>
    </row>
    <row r="6" spans="2:10" x14ac:dyDescent="0.2">
      <c r="B6" s="60" t="s">
        <v>143</v>
      </c>
    </row>
    <row r="8" spans="2:10" s="18" customFormat="1" x14ac:dyDescent="0.2">
      <c r="B8" s="72" t="s">
        <v>585</v>
      </c>
      <c r="C8" s="58">
        <f>SUM(C9:C12)</f>
        <v>0</v>
      </c>
      <c r="D8" s="14">
        <v>5000</v>
      </c>
      <c r="E8" s="58">
        <v>37090.019999999997</v>
      </c>
      <c r="F8" s="13"/>
      <c r="G8" s="16">
        <f>C8-D8</f>
        <v>-5000</v>
      </c>
      <c r="H8" s="16">
        <f>C8-E8</f>
        <v>-37090.019999999997</v>
      </c>
      <c r="I8" s="13"/>
      <c r="J8" s="13" t="s">
        <v>230</v>
      </c>
    </row>
    <row r="9" spans="2:10" s="68" customFormat="1" hidden="1" x14ac:dyDescent="0.2">
      <c r="B9" s="56" t="s">
        <v>191</v>
      </c>
      <c r="C9" s="57"/>
      <c r="D9" s="57"/>
      <c r="E9" s="82"/>
      <c r="G9" s="16">
        <f t="shared" ref="G9:G15" si="0">C9-D9</f>
        <v>0</v>
      </c>
      <c r="H9" s="16">
        <f t="shared" ref="H9:H15" si="1">C9-E9</f>
        <v>0</v>
      </c>
    </row>
    <row r="10" spans="2:10" s="68" customFormat="1" hidden="1" x14ac:dyDescent="0.2">
      <c r="B10" s="56" t="s">
        <v>192</v>
      </c>
      <c r="C10" s="57"/>
      <c r="D10" s="57"/>
      <c r="E10" s="82"/>
      <c r="G10" s="16">
        <f t="shared" si="0"/>
        <v>0</v>
      </c>
      <c r="H10" s="16">
        <f t="shared" si="1"/>
        <v>0</v>
      </c>
    </row>
    <row r="11" spans="2:10" s="68" customFormat="1" hidden="1" x14ac:dyDescent="0.2">
      <c r="B11" s="56" t="s">
        <v>193</v>
      </c>
      <c r="C11" s="57"/>
      <c r="D11" s="57"/>
      <c r="E11" s="82"/>
      <c r="G11" s="16">
        <f t="shared" si="0"/>
        <v>0</v>
      </c>
      <c r="H11" s="16">
        <f t="shared" si="1"/>
        <v>0</v>
      </c>
    </row>
    <row r="12" spans="2:10" s="68" customFormat="1" hidden="1" x14ac:dyDescent="0.2">
      <c r="B12" s="56" t="s">
        <v>194</v>
      </c>
      <c r="C12" s="57"/>
      <c r="D12" s="57"/>
      <c r="E12" s="82"/>
      <c r="G12" s="16">
        <f t="shared" si="0"/>
        <v>0</v>
      </c>
      <c r="H12" s="16">
        <f t="shared" si="1"/>
        <v>0</v>
      </c>
    </row>
    <row r="13" spans="2:10" hidden="1" x14ac:dyDescent="0.2">
      <c r="B13" s="52"/>
      <c r="C13" s="15"/>
      <c r="E13" s="80"/>
      <c r="G13" s="16">
        <f t="shared" si="0"/>
        <v>0</v>
      </c>
      <c r="H13" s="16">
        <f t="shared" si="1"/>
        <v>0</v>
      </c>
    </row>
    <row r="14" spans="2:10" hidden="1" x14ac:dyDescent="0.2">
      <c r="B14" s="52"/>
      <c r="C14" s="15"/>
      <c r="E14" s="80"/>
      <c r="G14" s="16">
        <f t="shared" si="0"/>
        <v>0</v>
      </c>
      <c r="H14" s="16">
        <f t="shared" si="1"/>
        <v>0</v>
      </c>
    </row>
    <row r="15" spans="2:10" x14ac:dyDescent="0.2">
      <c r="B15" s="72" t="s">
        <v>547</v>
      </c>
      <c r="C15" s="15"/>
      <c r="E15" s="80">
        <v>33.33</v>
      </c>
      <c r="G15" s="16">
        <f t="shared" si="0"/>
        <v>0</v>
      </c>
      <c r="H15" s="16">
        <f t="shared" si="1"/>
        <v>-33.33</v>
      </c>
    </row>
    <row r="16" spans="2:10" x14ac:dyDescent="0.2">
      <c r="B16" s="52" t="s">
        <v>24</v>
      </c>
      <c r="C16" s="15"/>
      <c r="E16" s="80">
        <v>2040</v>
      </c>
      <c r="G16" s="17">
        <f>C16-D16</f>
        <v>0</v>
      </c>
      <c r="H16" s="17">
        <f>C16-E16</f>
        <v>-2040</v>
      </c>
    </row>
    <row r="17" spans="2:10" x14ac:dyDescent="0.2">
      <c r="B17" s="52" t="s">
        <v>25</v>
      </c>
      <c r="C17" s="15">
        <v>2000</v>
      </c>
      <c r="E17" s="80"/>
      <c r="G17" s="17">
        <f t="shared" ref="G17:G23" si="2">C17-D17</f>
        <v>2000</v>
      </c>
      <c r="H17" s="17">
        <f t="shared" ref="H17:H23" si="3">C17-E17</f>
        <v>2000</v>
      </c>
      <c r="J17" s="13"/>
    </row>
    <row r="18" spans="2:10" x14ac:dyDescent="0.2">
      <c r="B18" s="52" t="s">
        <v>26</v>
      </c>
      <c r="C18" s="15"/>
      <c r="E18" s="80">
        <v>1096.3499999999999</v>
      </c>
      <c r="G18" s="17">
        <f t="shared" si="2"/>
        <v>0</v>
      </c>
      <c r="H18" s="17">
        <f t="shared" si="3"/>
        <v>-1096.3499999999999</v>
      </c>
      <c r="J18" s="13"/>
    </row>
    <row r="19" spans="2:10" x14ac:dyDescent="0.2">
      <c r="B19" s="52" t="s">
        <v>27</v>
      </c>
      <c r="C19" s="15">
        <v>1500</v>
      </c>
      <c r="D19" s="15">
        <v>1500</v>
      </c>
      <c r="E19" s="80">
        <v>9935</v>
      </c>
      <c r="G19" s="17">
        <f t="shared" si="2"/>
        <v>0</v>
      </c>
      <c r="H19" s="17">
        <f t="shared" si="3"/>
        <v>-8435</v>
      </c>
    </row>
    <row r="20" spans="2:10" x14ac:dyDescent="0.2">
      <c r="B20" s="52" t="s">
        <v>28</v>
      </c>
      <c r="C20" s="15">
        <v>7500</v>
      </c>
      <c r="D20" s="15">
        <v>7500</v>
      </c>
      <c r="E20" s="80">
        <v>7804</v>
      </c>
      <c r="G20" s="17">
        <f t="shared" si="2"/>
        <v>0</v>
      </c>
      <c r="H20" s="17">
        <f t="shared" si="3"/>
        <v>-304</v>
      </c>
      <c r="J20" s="13" t="s">
        <v>210</v>
      </c>
    </row>
    <row r="21" spans="2:10" hidden="1" x14ac:dyDescent="0.2">
      <c r="B21" s="52" t="s">
        <v>29</v>
      </c>
      <c r="D21" s="80"/>
      <c r="E21" s="80"/>
      <c r="G21" s="17">
        <f t="shared" si="2"/>
        <v>0</v>
      </c>
      <c r="H21" s="17">
        <f t="shared" si="3"/>
        <v>0</v>
      </c>
    </row>
    <row r="22" spans="2:10" hidden="1" x14ac:dyDescent="0.2">
      <c r="B22" s="52" t="s">
        <v>30</v>
      </c>
      <c r="D22" s="80"/>
      <c r="E22" s="80"/>
      <c r="G22" s="17">
        <f t="shared" si="2"/>
        <v>0</v>
      </c>
      <c r="H22" s="17">
        <f t="shared" si="3"/>
        <v>0</v>
      </c>
    </row>
    <row r="23" spans="2:10" hidden="1" x14ac:dyDescent="0.2">
      <c r="B23" s="52" t="s">
        <v>31</v>
      </c>
      <c r="D23" s="80"/>
      <c r="E23" s="80"/>
      <c r="G23" s="17">
        <f t="shared" si="2"/>
        <v>0</v>
      </c>
      <c r="H23" s="17">
        <f t="shared" si="3"/>
        <v>0</v>
      </c>
    </row>
    <row r="24" spans="2:10" hidden="1" x14ac:dyDescent="0.2">
      <c r="B24" s="52"/>
      <c r="E24" s="80"/>
      <c r="G24" s="17"/>
      <c r="H24" s="17"/>
    </row>
    <row r="25" spans="2:10" x14ac:dyDescent="0.2">
      <c r="B25" s="53"/>
      <c r="E25" s="80"/>
    </row>
    <row r="26" spans="2:10" x14ac:dyDescent="0.2">
      <c r="B26" s="61" t="s">
        <v>151</v>
      </c>
      <c r="C26" s="59">
        <f>SUM(C15:C25)+C8</f>
        <v>11000</v>
      </c>
      <c r="D26" s="59">
        <f>SUM(D15:D25)+D8</f>
        <v>14000</v>
      </c>
      <c r="E26" s="59">
        <f>SUM(E15:E25)+E8</f>
        <v>57998.7</v>
      </c>
      <c r="F26" s="18"/>
      <c r="G26" s="59">
        <f>SUM(G15:G25)+G8</f>
        <v>-3000</v>
      </c>
      <c r="H26" s="59">
        <f>SUM(H15:H25)+H8</f>
        <v>-46998.7</v>
      </c>
    </row>
    <row r="27" spans="2:10" x14ac:dyDescent="0.2">
      <c r="E27" s="80"/>
    </row>
    <row r="28" spans="2:10" x14ac:dyDescent="0.2">
      <c r="B28" s="62" t="s">
        <v>150</v>
      </c>
      <c r="E28" s="80"/>
    </row>
    <row r="29" spans="2:10" x14ac:dyDescent="0.2">
      <c r="E29" s="80"/>
    </row>
    <row r="30" spans="2:10" s="13" customFormat="1" x14ac:dyDescent="0.2">
      <c r="B30" s="72" t="s">
        <v>585</v>
      </c>
      <c r="C30" s="58"/>
      <c r="D30" s="58"/>
      <c r="E30" s="58">
        <v>-31958</v>
      </c>
      <c r="G30" s="17">
        <f>C30-D30</f>
        <v>0</v>
      </c>
      <c r="H30" s="17">
        <f>C30-E30</f>
        <v>31958</v>
      </c>
    </row>
    <row r="31" spans="2:10" x14ac:dyDescent="0.2">
      <c r="B31" s="52" t="s">
        <v>80</v>
      </c>
      <c r="C31" s="58">
        <v>-3500</v>
      </c>
      <c r="D31" s="58">
        <v>-3500</v>
      </c>
      <c r="E31" s="58">
        <v>-10405.56</v>
      </c>
      <c r="G31" s="17">
        <f>C31-D31</f>
        <v>0</v>
      </c>
      <c r="H31" s="17">
        <f>C31-E31</f>
        <v>6905.5599999999995</v>
      </c>
      <c r="J31" s="13"/>
    </row>
    <row r="32" spans="2:10" hidden="1" x14ac:dyDescent="0.2">
      <c r="B32" s="52" t="s">
        <v>81</v>
      </c>
      <c r="C32" s="58"/>
      <c r="D32" s="58"/>
      <c r="E32" s="58"/>
      <c r="G32" s="17">
        <f>C32-D32</f>
        <v>0</v>
      </c>
      <c r="H32" s="17">
        <f>C32-E32</f>
        <v>0</v>
      </c>
    </row>
    <row r="33" spans="2:10" x14ac:dyDescent="0.2">
      <c r="B33" s="72" t="s">
        <v>82</v>
      </c>
      <c r="C33" s="15">
        <v>-7500</v>
      </c>
      <c r="D33" s="15">
        <v>-7500</v>
      </c>
      <c r="E33" s="58">
        <v>-5526</v>
      </c>
      <c r="G33" s="17">
        <f>C33-D33</f>
        <v>0</v>
      </c>
      <c r="H33" s="17">
        <f>C33-E33</f>
        <v>-1974</v>
      </c>
    </row>
    <row r="34" spans="2:10" hidden="1" x14ac:dyDescent="0.2">
      <c r="B34" s="72" t="s">
        <v>202</v>
      </c>
      <c r="C34" s="15"/>
      <c r="E34" s="58"/>
      <c r="G34" s="17">
        <f>C34-D34</f>
        <v>0</v>
      </c>
      <c r="H34" s="17">
        <f>C34-E34</f>
        <v>0</v>
      </c>
    </row>
    <row r="35" spans="2:10" hidden="1" x14ac:dyDescent="0.2">
      <c r="B35" s="52" t="s">
        <v>84</v>
      </c>
      <c r="C35" s="15"/>
      <c r="E35" s="58"/>
      <c r="G35" s="17">
        <f t="shared" ref="G35:G41" si="4">C35-D35</f>
        <v>0</v>
      </c>
      <c r="H35" s="17">
        <f t="shared" ref="H35:H41" si="5">C35-E35</f>
        <v>0</v>
      </c>
    </row>
    <row r="36" spans="2:10" hidden="1" x14ac:dyDescent="0.2">
      <c r="B36" s="52" t="s">
        <v>85</v>
      </c>
      <c r="C36" s="15"/>
      <c r="E36" s="58"/>
      <c r="G36" s="17">
        <f t="shared" si="4"/>
        <v>0</v>
      </c>
      <c r="H36" s="17">
        <f t="shared" si="5"/>
        <v>0</v>
      </c>
    </row>
    <row r="37" spans="2:10" hidden="1" x14ac:dyDescent="0.2">
      <c r="B37" s="52" t="s">
        <v>86</v>
      </c>
      <c r="C37" s="15"/>
      <c r="E37" s="58"/>
      <c r="G37" s="17">
        <f t="shared" si="4"/>
        <v>0</v>
      </c>
      <c r="H37" s="17">
        <f t="shared" si="5"/>
        <v>0</v>
      </c>
    </row>
    <row r="38" spans="2:10" hidden="1" x14ac:dyDescent="0.2">
      <c r="B38" s="52" t="s">
        <v>87</v>
      </c>
      <c r="C38" s="15"/>
      <c r="E38" s="58"/>
      <c r="G38" s="17">
        <f t="shared" si="4"/>
        <v>0</v>
      </c>
      <c r="H38" s="17">
        <f t="shared" si="5"/>
        <v>0</v>
      </c>
    </row>
    <row r="39" spans="2:10" x14ac:dyDescent="0.2">
      <c r="B39" s="52" t="s">
        <v>88</v>
      </c>
      <c r="C39" s="15">
        <v>0</v>
      </c>
      <c r="D39" s="15">
        <v>-3000</v>
      </c>
      <c r="E39" s="58"/>
      <c r="G39" s="17">
        <f t="shared" si="4"/>
        <v>3000</v>
      </c>
      <c r="H39" s="17">
        <f t="shared" si="5"/>
        <v>0</v>
      </c>
      <c r="J39" s="13" t="s">
        <v>234</v>
      </c>
    </row>
    <row r="40" spans="2:10" x14ac:dyDescent="0.2">
      <c r="B40" s="52" t="s">
        <v>89</v>
      </c>
      <c r="C40" s="15">
        <v>0</v>
      </c>
      <c r="D40" s="15">
        <v>-500</v>
      </c>
      <c r="E40" s="58">
        <v>-3394</v>
      </c>
      <c r="G40" s="17">
        <f t="shared" si="4"/>
        <v>500</v>
      </c>
      <c r="H40" s="17">
        <f t="shared" si="5"/>
        <v>3394</v>
      </c>
      <c r="J40" s="13" t="s">
        <v>233</v>
      </c>
    </row>
    <row r="41" spans="2:10" hidden="1" x14ac:dyDescent="0.2">
      <c r="B41" s="72" t="s">
        <v>195</v>
      </c>
      <c r="D41" s="80"/>
      <c r="E41" s="80"/>
      <c r="G41" s="17">
        <f t="shared" si="4"/>
        <v>0</v>
      </c>
      <c r="H41" s="17">
        <f t="shared" si="5"/>
        <v>0</v>
      </c>
    </row>
    <row r="42" spans="2:10" hidden="1" x14ac:dyDescent="0.2">
      <c r="B42" s="52"/>
      <c r="G42" s="17"/>
      <c r="H42" s="17"/>
    </row>
    <row r="43" spans="2:10" hidden="1" x14ac:dyDescent="0.2">
      <c r="B43" s="54"/>
      <c r="G43" s="17"/>
      <c r="H43" s="17"/>
    </row>
    <row r="44" spans="2:10" hidden="1" x14ac:dyDescent="0.2">
      <c r="B44" s="54"/>
      <c r="G44" s="17"/>
      <c r="H44" s="17"/>
    </row>
    <row r="46" spans="2:10" x14ac:dyDescent="0.2">
      <c r="B46" s="61" t="s">
        <v>152</v>
      </c>
      <c r="C46" s="59">
        <f>SUM(C30:C45)</f>
        <v>-11000</v>
      </c>
      <c r="D46" s="55">
        <f>SUM(D30:D45)</f>
        <v>-14500</v>
      </c>
      <c r="E46" s="55">
        <f>SUM(E30:E45)</f>
        <v>-51283.56</v>
      </c>
      <c r="F46" s="18"/>
      <c r="G46" s="55">
        <f>SUM(G30:G45)</f>
        <v>3500</v>
      </c>
      <c r="H46" s="55">
        <f>SUM(H30:H45)</f>
        <v>40283.56</v>
      </c>
    </row>
    <row r="47" spans="2:10" x14ac:dyDescent="0.2">
      <c r="B47" s="18"/>
      <c r="C47" s="59"/>
      <c r="D47" s="55"/>
      <c r="E47" s="55"/>
      <c r="F47" s="18"/>
      <c r="G47" s="55"/>
      <c r="H47" s="55"/>
    </row>
    <row r="48" spans="2:10" x14ac:dyDescent="0.2">
      <c r="B48" s="63" t="s">
        <v>99</v>
      </c>
      <c r="C48" s="83">
        <f>C26+C46</f>
        <v>0</v>
      </c>
      <c r="D48" s="64">
        <f>D26+D46</f>
        <v>-500</v>
      </c>
      <c r="E48" s="64">
        <f>E26+E46</f>
        <v>6715.1399999999994</v>
      </c>
      <c r="F48" s="65"/>
      <c r="G48" s="64">
        <f>G26+G46</f>
        <v>500</v>
      </c>
      <c r="H48" s="64">
        <f>H26+H46</f>
        <v>-6715.1399999999994</v>
      </c>
    </row>
    <row r="50" spans="2:10" x14ac:dyDescent="0.2">
      <c r="B50" s="52"/>
      <c r="G50" s="17">
        <f>C50-D50</f>
        <v>0</v>
      </c>
      <c r="H50" s="17">
        <f>C50-E50</f>
        <v>0</v>
      </c>
    </row>
    <row r="52" spans="2:10" ht="12.75" thickBot="1" x14ac:dyDescent="0.25">
      <c r="B52" s="20" t="s">
        <v>153</v>
      </c>
      <c r="C52" s="84">
        <f>C48+C50</f>
        <v>0</v>
      </c>
      <c r="D52" s="66">
        <f>D48+D50</f>
        <v>-500</v>
      </c>
      <c r="E52" s="66">
        <f>E48+E50</f>
        <v>6715.1399999999994</v>
      </c>
      <c r="F52" s="67"/>
      <c r="G52" s="66">
        <f>G48+G50</f>
        <v>500</v>
      </c>
      <c r="H52" s="66">
        <f>H48+H50</f>
        <v>-6715.1399999999994</v>
      </c>
    </row>
    <row r="53" spans="2:10" ht="12.75" thickTop="1" x14ac:dyDescent="0.2"/>
    <row r="55" spans="2:10" x14ac:dyDescent="0.2">
      <c r="B55" s="60" t="s">
        <v>158</v>
      </c>
    </row>
    <row r="57" spans="2:10" hidden="1" x14ac:dyDescent="0.2">
      <c r="B57" s="13" t="s">
        <v>193</v>
      </c>
      <c r="C57" s="80">
        <f>C11+C37</f>
        <v>0</v>
      </c>
      <c r="D57" s="80">
        <f>D11+D37</f>
        <v>0</v>
      </c>
      <c r="E57" s="15">
        <f>E11+E37</f>
        <v>0</v>
      </c>
      <c r="G57" s="17">
        <f>C57-D57</f>
        <v>0</v>
      </c>
      <c r="H57" s="17">
        <f>C57-E57</f>
        <v>0</v>
      </c>
      <c r="J57" s="13"/>
    </row>
    <row r="58" spans="2:10" hidden="1" x14ac:dyDescent="0.2">
      <c r="B58" s="13" t="s">
        <v>192</v>
      </c>
      <c r="C58" s="80">
        <f>C10+C36</f>
        <v>0</v>
      </c>
      <c r="D58" s="80">
        <f>D10+D36</f>
        <v>0</v>
      </c>
      <c r="E58" s="80">
        <f>E10+E36</f>
        <v>0</v>
      </c>
      <c r="G58" s="17">
        <f t="shared" ref="G58:G67" si="6">C58-D58</f>
        <v>0</v>
      </c>
      <c r="H58" s="17">
        <f t="shared" ref="H58:H67" si="7">C58-E58</f>
        <v>0</v>
      </c>
      <c r="J58" s="13"/>
    </row>
    <row r="59" spans="2:10" hidden="1" x14ac:dyDescent="0.2">
      <c r="B59" s="13" t="s">
        <v>191</v>
      </c>
      <c r="C59" s="80">
        <f>C9+C32</f>
        <v>0</v>
      </c>
      <c r="D59" s="80">
        <f>D9+D32</f>
        <v>0</v>
      </c>
      <c r="E59" s="15">
        <f>E9+E32</f>
        <v>0</v>
      </c>
      <c r="G59" s="17">
        <f t="shared" si="6"/>
        <v>0</v>
      </c>
      <c r="H59" s="17">
        <f t="shared" si="7"/>
        <v>0</v>
      </c>
    </row>
    <row r="60" spans="2:10" x14ac:dyDescent="0.2">
      <c r="B60" s="13" t="s">
        <v>586</v>
      </c>
      <c r="C60" s="15">
        <f t="shared" ref="C60:D60" si="8">C8+C30</f>
        <v>0</v>
      </c>
      <c r="D60" s="15">
        <f t="shared" si="8"/>
        <v>5000</v>
      </c>
      <c r="E60" s="15">
        <f>E8+E30</f>
        <v>5132.0199999999968</v>
      </c>
      <c r="G60" s="17">
        <f t="shared" ref="G60" si="9">C60-D60</f>
        <v>-5000</v>
      </c>
      <c r="H60" s="17">
        <f t="shared" ref="H60" si="10">C60-E60</f>
        <v>-5132.0199999999968</v>
      </c>
    </row>
    <row r="61" spans="2:10" x14ac:dyDescent="0.2">
      <c r="B61" s="13" t="s">
        <v>196</v>
      </c>
      <c r="C61" s="15">
        <f t="shared" ref="C61:D61" si="11">C19+C31</f>
        <v>-2000</v>
      </c>
      <c r="D61" s="15">
        <f t="shared" si="11"/>
        <v>-2000</v>
      </c>
      <c r="E61" s="15">
        <f>E19+E31</f>
        <v>-470.55999999999949</v>
      </c>
      <c r="G61" s="17">
        <f t="shared" si="6"/>
        <v>0</v>
      </c>
      <c r="H61" s="17">
        <f t="shared" si="7"/>
        <v>-1529.4400000000005</v>
      </c>
    </row>
    <row r="62" spans="2:10" hidden="1" x14ac:dyDescent="0.2">
      <c r="B62" s="13" t="s">
        <v>194</v>
      </c>
      <c r="C62" s="15">
        <f t="shared" ref="C62:D62" si="12">C12+C34+C38</f>
        <v>0</v>
      </c>
      <c r="D62" s="15">
        <f t="shared" si="12"/>
        <v>0</v>
      </c>
      <c r="E62" s="15">
        <f>E12+E34+E38</f>
        <v>0</v>
      </c>
      <c r="G62" s="17">
        <f t="shared" si="6"/>
        <v>0</v>
      </c>
      <c r="H62" s="17">
        <f t="shared" si="7"/>
        <v>0</v>
      </c>
      <c r="J62" s="13"/>
    </row>
    <row r="63" spans="2:10" x14ac:dyDescent="0.2">
      <c r="B63" s="13" t="s">
        <v>197</v>
      </c>
      <c r="C63" s="15">
        <f t="shared" ref="C63:D63" si="13">C20+C21+C23+C33+C35</f>
        <v>0</v>
      </c>
      <c r="D63" s="15">
        <f t="shared" si="13"/>
        <v>0</v>
      </c>
      <c r="E63" s="15">
        <f>E20+E21+E23+E33+E35</f>
        <v>2278</v>
      </c>
      <c r="G63" s="17">
        <f t="shared" si="6"/>
        <v>0</v>
      </c>
      <c r="H63" s="17">
        <f t="shared" si="7"/>
        <v>-2278</v>
      </c>
      <c r="J63" s="13"/>
    </row>
    <row r="64" spans="2:10" hidden="1" x14ac:dyDescent="0.2">
      <c r="B64" s="13" t="s">
        <v>198</v>
      </c>
      <c r="C64" s="15">
        <f t="shared" ref="C64:D64" si="14">C16+C41</f>
        <v>0</v>
      </c>
      <c r="D64" s="15">
        <f t="shared" si="14"/>
        <v>0</v>
      </c>
      <c r="E64" s="15">
        <f>E16+E41</f>
        <v>2040</v>
      </c>
      <c r="G64" s="17">
        <f t="shared" si="6"/>
        <v>0</v>
      </c>
      <c r="H64" s="17">
        <f t="shared" si="7"/>
        <v>-2040</v>
      </c>
      <c r="J64" s="13"/>
    </row>
    <row r="65" spans="2:10" x14ac:dyDescent="0.2">
      <c r="B65" s="13" t="s">
        <v>199</v>
      </c>
      <c r="C65" s="15">
        <f t="shared" ref="C65:D65" si="15">C17</f>
        <v>2000</v>
      </c>
      <c r="D65" s="15">
        <f t="shared" si="15"/>
        <v>0</v>
      </c>
      <c r="E65" s="15">
        <f t="shared" ref="E65:E66" si="16">E17</f>
        <v>0</v>
      </c>
      <c r="G65" s="17">
        <f t="shared" si="6"/>
        <v>2000</v>
      </c>
      <c r="H65" s="17">
        <f t="shared" si="7"/>
        <v>2000</v>
      </c>
      <c r="J65" s="13"/>
    </row>
    <row r="66" spans="2:10" hidden="1" x14ac:dyDescent="0.2">
      <c r="B66" s="13" t="s">
        <v>200</v>
      </c>
      <c r="C66" s="15">
        <f t="shared" ref="C66:D66" si="17">C18</f>
        <v>0</v>
      </c>
      <c r="D66" s="15">
        <f t="shared" si="17"/>
        <v>0</v>
      </c>
      <c r="E66" s="15">
        <f t="shared" si="16"/>
        <v>1096.3499999999999</v>
      </c>
      <c r="G66" s="17">
        <f t="shared" si="6"/>
        <v>0</v>
      </c>
      <c r="H66" s="17">
        <f t="shared" si="7"/>
        <v>-1096.3499999999999</v>
      </c>
      <c r="J66" s="13"/>
    </row>
    <row r="67" spans="2:10" x14ac:dyDescent="0.2">
      <c r="B67" s="13" t="s">
        <v>201</v>
      </c>
      <c r="C67" s="15">
        <f t="shared" ref="C67:D67" si="18">C22+C39+C40+C15</f>
        <v>0</v>
      </c>
      <c r="D67" s="15">
        <f t="shared" si="18"/>
        <v>-3500</v>
      </c>
      <c r="E67" s="15">
        <f>E22+E39+E40+E15</f>
        <v>-3360.67</v>
      </c>
      <c r="G67" s="17">
        <f t="shared" si="6"/>
        <v>3500</v>
      </c>
      <c r="H67" s="17">
        <f t="shared" si="7"/>
        <v>3360.67</v>
      </c>
    </row>
    <row r="68" spans="2:10" x14ac:dyDescent="0.2">
      <c r="B68" s="13"/>
      <c r="G68" s="17"/>
      <c r="H68" s="17"/>
      <c r="J68" s="13"/>
    </row>
    <row r="69" spans="2:10" hidden="1" x14ac:dyDescent="0.2">
      <c r="B69" s="13"/>
      <c r="G69" s="17"/>
      <c r="H69" s="17"/>
      <c r="J69" s="13"/>
    </row>
    <row r="70" spans="2:10" hidden="1" x14ac:dyDescent="0.2">
      <c r="B70" s="13"/>
      <c r="G70" s="17"/>
      <c r="H70" s="17"/>
      <c r="J70" s="13"/>
    </row>
    <row r="71" spans="2:10" hidden="1" x14ac:dyDescent="0.2">
      <c r="B71" s="13"/>
      <c r="G71" s="17"/>
      <c r="H71" s="17"/>
      <c r="J71" s="13"/>
    </row>
    <row r="73" spans="2:10" s="18" customFormat="1" ht="12.75" thickBot="1" x14ac:dyDescent="0.25">
      <c r="B73" s="20" t="s">
        <v>172</v>
      </c>
      <c r="C73" s="84">
        <f>SUM(C57:C72)</f>
        <v>0</v>
      </c>
      <c r="D73" s="66">
        <f>SUM(D57:D72)</f>
        <v>-500</v>
      </c>
      <c r="E73" s="66">
        <f>SUM(E57:E72)</f>
        <v>6715.1399999999976</v>
      </c>
      <c r="F73" s="20"/>
      <c r="G73" s="66">
        <f>SUM(G57:G72)</f>
        <v>500</v>
      </c>
      <c r="H73" s="66">
        <f>SUM(H57:H72)</f>
        <v>-6715.1399999999976</v>
      </c>
    </row>
    <row r="74" spans="2:10" ht="12.75" thickTop="1" x14ac:dyDescent="0.2"/>
    <row r="75" spans="2:10" s="68" customFormat="1" x14ac:dyDescent="0.2">
      <c r="B75" s="68" t="s">
        <v>171</v>
      </c>
      <c r="C75" s="82">
        <f>C73-C52</f>
        <v>0</v>
      </c>
      <c r="D75" s="57">
        <f>D73-D52</f>
        <v>0</v>
      </c>
      <c r="E75" s="57">
        <f>E73-E52</f>
        <v>0</v>
      </c>
      <c r="G75" s="57">
        <f>G73-G52</f>
        <v>0</v>
      </c>
      <c r="H75" s="57">
        <f>H73-H52</f>
        <v>0</v>
      </c>
    </row>
  </sheetData>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185DA-9B44-48DD-A94A-5490560DAF80}">
  <sheetPr codeName="Sheet9">
    <pageSetUpPr fitToPage="1"/>
  </sheetPr>
  <dimension ref="B1:J68"/>
  <sheetViews>
    <sheetView zoomScaleNormal="100" workbookViewId="0">
      <pane ySplit="4" topLeftCell="A5" activePane="bottomLeft" state="frozen"/>
      <selection pane="bottomLeft" sqref="A1:XFD1048576"/>
    </sheetView>
  </sheetViews>
  <sheetFormatPr defaultRowHeight="12" x14ac:dyDescent="0.2"/>
  <cols>
    <col min="1" max="1" width="0.85546875" customWidth="1"/>
    <col min="2" max="2" width="44.140625" customWidth="1"/>
    <col min="3" max="3" width="7.5703125" style="15" bestFit="1" customWidth="1"/>
    <col min="4" max="4" width="10" style="15" bestFit="1" customWidth="1"/>
    <col min="5" max="5" width="7.5703125" style="15" bestFit="1" customWidth="1"/>
    <col min="6" max="6" width="7.140625" customWidth="1"/>
    <col min="7" max="7" width="10.42578125" bestFit="1" customWidth="1"/>
    <col min="8" max="8" width="10.42578125" hidden="1" customWidth="1"/>
    <col min="9" max="9" width="0" hidden="1" customWidth="1"/>
    <col min="10" max="10" width="52.85546875" hidden="1" customWidth="1"/>
    <col min="11" max="13" width="0" hidden="1" customWidth="1"/>
  </cols>
  <sheetData>
    <row r="1" spans="2:10" ht="20.25" thickBot="1" x14ac:dyDescent="0.45">
      <c r="B1" s="69" t="s">
        <v>582</v>
      </c>
      <c r="C1" s="70"/>
      <c r="D1" s="70"/>
      <c r="E1" s="70"/>
      <c r="F1" s="71"/>
      <c r="G1" s="71"/>
      <c r="H1" s="71"/>
      <c r="I1" s="71"/>
      <c r="J1" s="71"/>
    </row>
    <row r="3" spans="2:10" x14ac:dyDescent="0.2">
      <c r="C3" s="195">
        <v>2025</v>
      </c>
      <c r="D3" s="195">
        <v>2024</v>
      </c>
      <c r="E3" s="195">
        <v>2023</v>
      </c>
      <c r="F3" s="109"/>
      <c r="G3" s="109"/>
      <c r="H3" s="110"/>
      <c r="I3" s="110"/>
      <c r="J3" s="110"/>
    </row>
    <row r="4" spans="2:10" x14ac:dyDescent="0.2">
      <c r="B4" s="18"/>
      <c r="C4" s="196" t="s">
        <v>154</v>
      </c>
      <c r="D4" s="196" t="s">
        <v>157</v>
      </c>
      <c r="E4" s="196" t="s">
        <v>577</v>
      </c>
      <c r="F4" s="55"/>
      <c r="G4" s="59" t="s">
        <v>246</v>
      </c>
      <c r="H4" s="59" t="s">
        <v>584</v>
      </c>
      <c r="I4" s="59"/>
      <c r="J4" s="59"/>
    </row>
    <row r="5" spans="2:10" x14ac:dyDescent="0.2">
      <c r="C5" s="14"/>
      <c r="D5" s="14"/>
      <c r="E5" s="14"/>
      <c r="G5" s="58"/>
      <c r="H5" s="58"/>
    </row>
    <row r="6" spans="2:10" x14ac:dyDescent="0.2">
      <c r="B6" s="60" t="s">
        <v>143</v>
      </c>
    </row>
    <row r="8" spans="2:10" x14ac:dyDescent="0.2">
      <c r="B8" s="52" t="s">
        <v>21</v>
      </c>
      <c r="C8" s="15">
        <v>0</v>
      </c>
      <c r="D8" s="15">
        <v>0</v>
      </c>
      <c r="E8" s="15">
        <v>300</v>
      </c>
      <c r="G8" s="17">
        <v>0</v>
      </c>
      <c r="H8" s="17">
        <v>-300</v>
      </c>
    </row>
    <row r="9" spans="2:10" x14ac:dyDescent="0.2">
      <c r="B9" s="52" t="s">
        <v>22</v>
      </c>
      <c r="C9" s="15">
        <v>0</v>
      </c>
      <c r="D9" s="15">
        <v>0</v>
      </c>
      <c r="E9" s="15">
        <v>20314.34</v>
      </c>
      <c r="G9" s="17">
        <v>0</v>
      </c>
      <c r="H9" s="17">
        <v>-20314.34</v>
      </c>
    </row>
    <row r="10" spans="2:10" hidden="1" x14ac:dyDescent="0.2">
      <c r="B10" s="52"/>
      <c r="G10" s="17"/>
      <c r="H10" s="17"/>
    </row>
    <row r="11" spans="2:10" hidden="1" x14ac:dyDescent="0.2">
      <c r="B11" s="52"/>
      <c r="G11" s="17"/>
      <c r="H11" s="17"/>
    </row>
    <row r="12" spans="2:10" hidden="1" x14ac:dyDescent="0.2">
      <c r="B12" s="52"/>
      <c r="G12" s="17"/>
      <c r="H12" s="17"/>
    </row>
    <row r="13" spans="2:10" hidden="1" x14ac:dyDescent="0.2">
      <c r="B13" s="52"/>
      <c r="G13" s="17"/>
      <c r="H13" s="17"/>
    </row>
    <row r="14" spans="2:10" hidden="1" x14ac:dyDescent="0.2">
      <c r="B14" s="52"/>
      <c r="G14" s="17"/>
      <c r="H14" s="17"/>
    </row>
    <row r="15" spans="2:10" hidden="1" x14ac:dyDescent="0.2">
      <c r="B15" s="52"/>
      <c r="G15" s="17"/>
      <c r="H15" s="17"/>
    </row>
    <row r="16" spans="2:10" hidden="1" x14ac:dyDescent="0.2">
      <c r="B16" s="52"/>
      <c r="G16" s="17"/>
      <c r="H16" s="17"/>
    </row>
    <row r="17" spans="2:10" hidden="1" x14ac:dyDescent="0.2">
      <c r="B17" s="52"/>
      <c r="G17" s="17"/>
      <c r="H17" s="17"/>
    </row>
    <row r="18" spans="2:10" hidden="1" x14ac:dyDescent="0.2">
      <c r="B18" s="52"/>
      <c r="G18" s="17"/>
      <c r="H18" s="17"/>
    </row>
    <row r="19" spans="2:10" hidden="1" x14ac:dyDescent="0.2">
      <c r="B19" s="54"/>
      <c r="G19" s="17"/>
      <c r="H19" s="17"/>
    </row>
    <row r="20" spans="2:10" hidden="1" x14ac:dyDescent="0.2">
      <c r="B20" s="54"/>
      <c r="G20" s="17"/>
      <c r="H20" s="17"/>
    </row>
    <row r="21" spans="2:10" x14ac:dyDescent="0.2">
      <c r="B21" s="53"/>
    </row>
    <row r="22" spans="2:10" x14ac:dyDescent="0.2">
      <c r="B22" s="61" t="s">
        <v>151</v>
      </c>
      <c r="C22" s="55">
        <v>0</v>
      </c>
      <c r="D22" s="55">
        <v>0</v>
      </c>
      <c r="E22" s="55">
        <v>20614.34</v>
      </c>
      <c r="F22" s="18"/>
      <c r="G22" s="55">
        <v>0</v>
      </c>
      <c r="H22" s="55">
        <v>-20614.34</v>
      </c>
    </row>
    <row r="24" spans="2:10" x14ac:dyDescent="0.2">
      <c r="B24" s="62" t="s">
        <v>150</v>
      </c>
    </row>
    <row r="26" spans="2:10" x14ac:dyDescent="0.2">
      <c r="B26" s="18" t="s">
        <v>174</v>
      </c>
      <c r="C26" s="55">
        <v>-55000</v>
      </c>
      <c r="D26" s="55">
        <v>0</v>
      </c>
      <c r="E26" s="55">
        <v>-2581.04</v>
      </c>
      <c r="G26" s="17">
        <v>-55000</v>
      </c>
      <c r="H26" s="17">
        <v>-52418.96</v>
      </c>
      <c r="J26" s="13"/>
    </row>
    <row r="27" spans="2:10" hidden="1" x14ac:dyDescent="0.2">
      <c r="B27" s="56" t="s">
        <v>76</v>
      </c>
      <c r="C27" s="57"/>
      <c r="D27" s="57"/>
      <c r="E27" s="57"/>
    </row>
    <row r="28" spans="2:10" hidden="1" x14ac:dyDescent="0.2">
      <c r="B28" s="56" t="s">
        <v>77</v>
      </c>
      <c r="C28" s="57"/>
      <c r="D28" s="57"/>
      <c r="E28" s="57"/>
    </row>
    <row r="29" spans="2:10" s="13" customFormat="1" x14ac:dyDescent="0.2">
      <c r="B29" s="72" t="s">
        <v>213</v>
      </c>
      <c r="C29" s="14">
        <v>0</v>
      </c>
      <c r="D29" s="14">
        <v>-57000</v>
      </c>
      <c r="E29" s="14">
        <v>0</v>
      </c>
      <c r="G29" s="17">
        <v>57000</v>
      </c>
      <c r="H29" s="17">
        <v>0</v>
      </c>
      <c r="J29" s="13" t="s">
        <v>231</v>
      </c>
    </row>
    <row r="30" spans="2:10" s="13" customFormat="1" x14ac:dyDescent="0.2">
      <c r="B30" s="72" t="s">
        <v>78</v>
      </c>
      <c r="C30" s="14">
        <v>-5000</v>
      </c>
      <c r="D30" s="14">
        <v>0</v>
      </c>
      <c r="E30" s="14">
        <v>-4986.16</v>
      </c>
      <c r="G30" s="17">
        <v>-5000</v>
      </c>
      <c r="H30" s="17">
        <v>-13.840000000000146</v>
      </c>
      <c r="J30" s="13" t="s">
        <v>239</v>
      </c>
    </row>
    <row r="31" spans="2:10" x14ac:dyDescent="0.2">
      <c r="B31" s="52" t="s">
        <v>74</v>
      </c>
      <c r="C31" s="15">
        <v>-5000</v>
      </c>
      <c r="D31" s="15">
        <v>0</v>
      </c>
      <c r="E31" s="15">
        <v>-29745.42</v>
      </c>
      <c r="G31" s="17">
        <v>-5000</v>
      </c>
      <c r="H31" s="17">
        <v>24745.42</v>
      </c>
      <c r="J31" s="13" t="s">
        <v>239</v>
      </c>
    </row>
    <row r="32" spans="2:10" x14ac:dyDescent="0.2">
      <c r="B32" s="52" t="s">
        <v>75</v>
      </c>
      <c r="C32" s="15">
        <v>0</v>
      </c>
      <c r="D32" s="15">
        <v>0</v>
      </c>
      <c r="E32" s="15">
        <v>-2847.35</v>
      </c>
      <c r="G32" s="17">
        <v>0</v>
      </c>
      <c r="H32" s="17">
        <v>2847.35</v>
      </c>
    </row>
    <row r="33" spans="2:10" x14ac:dyDescent="0.2">
      <c r="B33" s="72" t="s">
        <v>247</v>
      </c>
      <c r="C33" s="15">
        <v>-5000</v>
      </c>
      <c r="D33" s="15">
        <v>-8500</v>
      </c>
      <c r="E33" s="15">
        <v>0</v>
      </c>
      <c r="G33" s="17">
        <v>3500</v>
      </c>
      <c r="H33" s="17">
        <v>-5000</v>
      </c>
      <c r="J33" s="13" t="s">
        <v>232</v>
      </c>
    </row>
    <row r="34" spans="2:10" hidden="1" x14ac:dyDescent="0.2">
      <c r="B34" s="72" t="s">
        <v>178</v>
      </c>
      <c r="C34" s="15">
        <v>0</v>
      </c>
      <c r="D34" s="15">
        <v>0</v>
      </c>
      <c r="G34" s="17">
        <v>0</v>
      </c>
      <c r="H34" s="17">
        <v>0</v>
      </c>
      <c r="J34" s="13" t="s">
        <v>239</v>
      </c>
    </row>
    <row r="35" spans="2:10" hidden="1" x14ac:dyDescent="0.2">
      <c r="B35" s="52"/>
      <c r="G35" s="17"/>
      <c r="H35" s="17"/>
    </row>
    <row r="36" spans="2:10" hidden="1" x14ac:dyDescent="0.2">
      <c r="B36" s="52"/>
      <c r="G36" s="17"/>
      <c r="H36" s="17"/>
    </row>
    <row r="37" spans="2:10" hidden="1" x14ac:dyDescent="0.2">
      <c r="B37" s="52"/>
      <c r="G37" s="17"/>
      <c r="H37" s="17"/>
    </row>
    <row r="38" spans="2:10" hidden="1" x14ac:dyDescent="0.2">
      <c r="B38" s="52"/>
      <c r="G38" s="17"/>
      <c r="H38" s="17"/>
    </row>
    <row r="39" spans="2:10" hidden="1" x14ac:dyDescent="0.2">
      <c r="B39" s="52"/>
      <c r="G39" s="17"/>
      <c r="H39" s="17"/>
    </row>
    <row r="40" spans="2:10" hidden="1" x14ac:dyDescent="0.2">
      <c r="B40" s="52"/>
      <c r="G40" s="17"/>
      <c r="H40" s="17"/>
    </row>
    <row r="41" spans="2:10" hidden="1" x14ac:dyDescent="0.2">
      <c r="B41" s="52"/>
      <c r="G41" s="17"/>
      <c r="H41" s="17"/>
    </row>
    <row r="42" spans="2:10" hidden="1" x14ac:dyDescent="0.2">
      <c r="B42" s="52"/>
      <c r="G42" s="17"/>
      <c r="H42" s="17"/>
    </row>
    <row r="43" spans="2:10" hidden="1" x14ac:dyDescent="0.2">
      <c r="B43" s="54"/>
      <c r="G43" s="17"/>
      <c r="H43" s="17"/>
    </row>
    <row r="44" spans="2:10" hidden="1" x14ac:dyDescent="0.2">
      <c r="B44" s="54"/>
      <c r="G44" s="17"/>
      <c r="H44" s="17"/>
    </row>
    <row r="46" spans="2:10" x14ac:dyDescent="0.2">
      <c r="B46" s="61" t="s">
        <v>152</v>
      </c>
      <c r="C46" s="55">
        <v>-70000</v>
      </c>
      <c r="D46" s="55">
        <v>-65500</v>
      </c>
      <c r="E46" s="55">
        <v>-40159.97</v>
      </c>
      <c r="F46" s="18"/>
      <c r="G46" s="55">
        <v>-4500</v>
      </c>
      <c r="H46" s="55">
        <v>-29840.030000000002</v>
      </c>
    </row>
    <row r="47" spans="2:10" x14ac:dyDescent="0.2">
      <c r="B47" s="18"/>
      <c r="C47" s="55"/>
      <c r="D47" s="55"/>
      <c r="E47" s="55"/>
      <c r="F47" s="18"/>
      <c r="G47" s="55"/>
      <c r="H47" s="55"/>
    </row>
    <row r="48" spans="2:10" x14ac:dyDescent="0.2">
      <c r="B48" s="63" t="s">
        <v>99</v>
      </c>
      <c r="C48" s="64">
        <v>-70000</v>
      </c>
      <c r="D48" s="64">
        <v>-65500</v>
      </c>
      <c r="E48" s="64">
        <v>-19545.63</v>
      </c>
      <c r="F48" s="65"/>
      <c r="G48" s="64">
        <v>-4500</v>
      </c>
      <c r="H48" s="64">
        <v>-50454.37</v>
      </c>
    </row>
    <row r="50" spans="2:10" x14ac:dyDescent="0.2">
      <c r="B50" s="52"/>
      <c r="G50" s="17">
        <v>0</v>
      </c>
      <c r="H50" s="17">
        <v>0</v>
      </c>
    </row>
    <row r="52" spans="2:10" ht="12.75" thickBot="1" x14ac:dyDescent="0.25">
      <c r="B52" s="20" t="s">
        <v>153</v>
      </c>
      <c r="C52" s="66">
        <v>-70000</v>
      </c>
      <c r="D52" s="66">
        <v>-65500</v>
      </c>
      <c r="E52" s="66">
        <v>-19545.63</v>
      </c>
      <c r="F52" s="67"/>
      <c r="G52" s="66">
        <v>-4500</v>
      </c>
      <c r="H52" s="66">
        <v>-50454.37</v>
      </c>
    </row>
    <row r="53" spans="2:10" ht="12.75" thickTop="1" x14ac:dyDescent="0.2"/>
    <row r="55" spans="2:10" x14ac:dyDescent="0.2">
      <c r="B55" s="60" t="s">
        <v>158</v>
      </c>
    </row>
    <row r="57" spans="2:10" x14ac:dyDescent="0.2">
      <c r="B57" s="13" t="s">
        <v>175</v>
      </c>
      <c r="C57" s="15">
        <v>-5000</v>
      </c>
      <c r="D57" s="15">
        <v>0</v>
      </c>
      <c r="E57" s="15">
        <v>-9431.0799999999981</v>
      </c>
      <c r="G57" s="17">
        <v>-5000</v>
      </c>
      <c r="H57" s="17">
        <v>4431.0799999999981</v>
      </c>
      <c r="J57" s="13"/>
    </row>
    <row r="58" spans="2:10" x14ac:dyDescent="0.2">
      <c r="B58" s="13" t="s">
        <v>176</v>
      </c>
      <c r="C58" s="15">
        <v>-55000</v>
      </c>
      <c r="D58" s="15">
        <v>0</v>
      </c>
      <c r="E58" s="15">
        <v>-2581.04</v>
      </c>
      <c r="G58" s="17">
        <v>-55000</v>
      </c>
      <c r="H58" s="17">
        <v>-52418.96</v>
      </c>
      <c r="J58" s="13"/>
    </row>
    <row r="59" spans="2:10" x14ac:dyDescent="0.2">
      <c r="B59" s="13" t="s">
        <v>177</v>
      </c>
      <c r="C59" s="15">
        <v>0</v>
      </c>
      <c r="D59" s="15">
        <v>0</v>
      </c>
      <c r="E59" s="15">
        <v>-2847.35</v>
      </c>
      <c r="G59" s="17">
        <v>0</v>
      </c>
      <c r="H59" s="17">
        <v>2847.35</v>
      </c>
    </row>
    <row r="60" spans="2:10" x14ac:dyDescent="0.2">
      <c r="B60" s="13" t="s">
        <v>179</v>
      </c>
      <c r="C60" s="15">
        <v>-5000</v>
      </c>
      <c r="D60" s="15">
        <v>-8500</v>
      </c>
      <c r="E60" s="15">
        <v>0</v>
      </c>
      <c r="G60" s="17">
        <v>3500</v>
      </c>
      <c r="H60" s="17">
        <v>-5000</v>
      </c>
      <c r="J60" s="13"/>
    </row>
    <row r="61" spans="2:10" x14ac:dyDescent="0.2">
      <c r="B61" s="13" t="s">
        <v>214</v>
      </c>
      <c r="C61" s="15">
        <v>0</v>
      </c>
      <c r="D61" s="15">
        <v>-57000</v>
      </c>
      <c r="E61" s="15">
        <v>0</v>
      </c>
      <c r="G61" s="17">
        <v>57000</v>
      </c>
      <c r="H61" s="17">
        <v>0</v>
      </c>
      <c r="J61" s="13"/>
    </row>
    <row r="62" spans="2:10" x14ac:dyDescent="0.2">
      <c r="B62" s="13" t="s">
        <v>170</v>
      </c>
      <c r="C62" s="15">
        <v>-5000</v>
      </c>
      <c r="D62" s="15">
        <v>0</v>
      </c>
      <c r="E62" s="15">
        <v>-4686.16</v>
      </c>
      <c r="G62" s="17">
        <v>-5000</v>
      </c>
      <c r="H62" s="17">
        <v>-313.84000000000015</v>
      </c>
      <c r="J62" s="13"/>
    </row>
    <row r="63" spans="2:10" hidden="1" x14ac:dyDescent="0.2">
      <c r="B63" s="13"/>
      <c r="G63" s="17"/>
      <c r="H63" s="17"/>
    </row>
    <row r="64" spans="2:10" hidden="1" x14ac:dyDescent="0.2">
      <c r="B64" s="13"/>
      <c r="G64" s="17"/>
      <c r="H64" s="17"/>
      <c r="J64" s="13"/>
    </row>
    <row r="66" spans="2:8" s="18" customFormat="1" ht="12.75" thickBot="1" x14ac:dyDescent="0.25">
      <c r="B66" s="20" t="s">
        <v>172</v>
      </c>
      <c r="C66" s="66">
        <v>-70000</v>
      </c>
      <c r="D66" s="66">
        <v>-65500</v>
      </c>
      <c r="E66" s="66">
        <v>-19545.629999999997</v>
      </c>
      <c r="F66" s="20"/>
      <c r="G66" s="66">
        <v>-4500</v>
      </c>
      <c r="H66" s="66">
        <v>-50454.37000000001</v>
      </c>
    </row>
    <row r="67" spans="2:8" ht="12.75" thickTop="1" x14ac:dyDescent="0.2"/>
    <row r="68" spans="2:8" s="68" customFormat="1" hidden="1" x14ac:dyDescent="0.2">
      <c r="B68" s="68" t="s">
        <v>171</v>
      </c>
      <c r="C68" s="57">
        <v>0</v>
      </c>
      <c r="D68" s="57">
        <v>0</v>
      </c>
      <c r="E68" s="57">
        <v>0</v>
      </c>
      <c r="G68" s="57">
        <v>0</v>
      </c>
      <c r="H68" s="57">
        <v>0</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5CFF-E1F0-409E-AF84-787DE50410B4}">
  <dimension ref="A1:I24"/>
  <sheetViews>
    <sheetView workbookViewId="0">
      <selection activeCell="E45" sqref="E45"/>
    </sheetView>
  </sheetViews>
  <sheetFormatPr defaultRowHeight="12" x14ac:dyDescent="0.2"/>
  <cols>
    <col min="1" max="1" width="17.28515625" bestFit="1" customWidth="1"/>
    <col min="2" max="2" width="1.85546875" customWidth="1"/>
    <col min="3" max="3" width="53.140625" bestFit="1" customWidth="1"/>
    <col min="4" max="4" width="2.140625" customWidth="1"/>
    <col min="5" max="5" width="61.7109375" bestFit="1" customWidth="1"/>
    <col min="6" max="6" width="1.7109375" customWidth="1"/>
    <col min="7" max="7" width="44.28515625" bestFit="1" customWidth="1"/>
    <col min="8" max="8" width="2.28515625" customWidth="1"/>
    <col min="9" max="9" width="44.28515625" bestFit="1" customWidth="1"/>
  </cols>
  <sheetData>
    <row r="1" spans="1:9" ht="20.25" thickBot="1" x14ac:dyDescent="0.45">
      <c r="A1" s="69" t="s">
        <v>502</v>
      </c>
      <c r="B1" s="71"/>
      <c r="C1" s="71"/>
      <c r="D1" s="71"/>
      <c r="E1" s="71"/>
      <c r="F1" s="71"/>
      <c r="G1" s="71"/>
      <c r="H1" s="71"/>
      <c r="I1" s="71"/>
    </row>
    <row r="3" spans="1:9" x14ac:dyDescent="0.2">
      <c r="C3" s="18" t="s">
        <v>468</v>
      </c>
      <c r="D3" s="18"/>
      <c r="E3" s="18" t="s">
        <v>472</v>
      </c>
      <c r="F3" s="18"/>
      <c r="G3" s="18" t="s">
        <v>476</v>
      </c>
      <c r="H3" s="18"/>
      <c r="I3" s="18" t="s">
        <v>494</v>
      </c>
    </row>
    <row r="5" spans="1:9" x14ac:dyDescent="0.2">
      <c r="A5" t="s">
        <v>486</v>
      </c>
      <c r="C5" s="13" t="s">
        <v>469</v>
      </c>
      <c r="E5" s="13" t="s">
        <v>473</v>
      </c>
      <c r="G5" s="13" t="s">
        <v>477</v>
      </c>
      <c r="I5" t="s">
        <v>495</v>
      </c>
    </row>
    <row r="6" spans="1:9" x14ac:dyDescent="0.2">
      <c r="A6" t="s">
        <v>487</v>
      </c>
      <c r="C6" s="13" t="s">
        <v>480</v>
      </c>
      <c r="E6" s="13" t="s">
        <v>474</v>
      </c>
    </row>
    <row r="7" spans="1:9" x14ac:dyDescent="0.2">
      <c r="A7" t="s">
        <v>488</v>
      </c>
      <c r="C7" s="13" t="s">
        <v>481</v>
      </c>
      <c r="E7" s="13" t="s">
        <v>475</v>
      </c>
      <c r="G7" s="13" t="s">
        <v>478</v>
      </c>
      <c r="I7" s="13" t="s">
        <v>478</v>
      </c>
    </row>
    <row r="8" spans="1:9" x14ac:dyDescent="0.2">
      <c r="A8" t="s">
        <v>489</v>
      </c>
      <c r="C8" s="13" t="s">
        <v>485</v>
      </c>
      <c r="E8" s="13" t="s">
        <v>484</v>
      </c>
      <c r="G8" s="13" t="s">
        <v>479</v>
      </c>
      <c r="I8" s="13" t="s">
        <v>496</v>
      </c>
    </row>
    <row r="10" spans="1:9" x14ac:dyDescent="0.2">
      <c r="A10" t="s">
        <v>492</v>
      </c>
    </row>
    <row r="12" spans="1:9" x14ac:dyDescent="0.2">
      <c r="A12" t="s">
        <v>490</v>
      </c>
      <c r="C12" s="176">
        <v>10</v>
      </c>
      <c r="D12" s="176"/>
      <c r="E12" s="176">
        <v>11</v>
      </c>
      <c r="F12" s="176"/>
      <c r="G12" s="176">
        <v>12</v>
      </c>
      <c r="I12" s="176">
        <v>12</v>
      </c>
    </row>
    <row r="13" spans="1:9" x14ac:dyDescent="0.2">
      <c r="A13" t="s">
        <v>491</v>
      </c>
      <c r="C13" s="176">
        <v>33</v>
      </c>
      <c r="D13" s="176"/>
      <c r="E13" s="176">
        <v>35</v>
      </c>
      <c r="F13" s="176"/>
      <c r="G13" s="176">
        <v>37</v>
      </c>
      <c r="I13" s="176">
        <v>34</v>
      </c>
    </row>
    <row r="14" spans="1:9" x14ac:dyDescent="0.2">
      <c r="A14" t="s">
        <v>400</v>
      </c>
      <c r="C14" s="176">
        <v>18</v>
      </c>
      <c r="D14" s="176"/>
      <c r="E14" s="176">
        <v>19</v>
      </c>
      <c r="F14" s="176"/>
      <c r="G14" s="176">
        <v>20</v>
      </c>
      <c r="I14" s="176">
        <v>21</v>
      </c>
    </row>
    <row r="15" spans="1:9" x14ac:dyDescent="0.2">
      <c r="C15" s="176"/>
      <c r="D15" s="176"/>
      <c r="E15" s="176"/>
      <c r="F15" s="176"/>
      <c r="G15" s="176"/>
      <c r="I15" s="176"/>
    </row>
    <row r="16" spans="1:9" x14ac:dyDescent="0.2">
      <c r="A16" t="s">
        <v>493</v>
      </c>
      <c r="C16" s="176"/>
      <c r="D16" s="176"/>
      <c r="E16" s="176"/>
      <c r="F16" s="176"/>
      <c r="G16" s="176"/>
      <c r="I16" s="176"/>
    </row>
    <row r="17" spans="1:9" x14ac:dyDescent="0.2">
      <c r="C17" s="176"/>
      <c r="D17" s="176"/>
      <c r="E17" s="176"/>
      <c r="F17" s="176"/>
      <c r="G17" s="176"/>
      <c r="I17" s="176"/>
    </row>
    <row r="18" spans="1:9" x14ac:dyDescent="0.2">
      <c r="A18" t="s">
        <v>490</v>
      </c>
      <c r="C18" s="176">
        <v>12</v>
      </c>
      <c r="D18" s="176"/>
      <c r="E18" s="176">
        <v>12</v>
      </c>
      <c r="F18" s="176"/>
      <c r="G18" s="176">
        <v>12</v>
      </c>
      <c r="I18" s="176">
        <v>12</v>
      </c>
    </row>
    <row r="19" spans="1:9" x14ac:dyDescent="0.2">
      <c r="A19" t="s">
        <v>491</v>
      </c>
      <c r="C19" s="176">
        <v>37</v>
      </c>
      <c r="D19" s="176"/>
      <c r="E19" s="176">
        <v>37</v>
      </c>
      <c r="F19" s="176"/>
      <c r="G19" s="176">
        <v>37</v>
      </c>
      <c r="I19" s="176">
        <v>34</v>
      </c>
    </row>
    <row r="20" spans="1:9" x14ac:dyDescent="0.2">
      <c r="A20" t="s">
        <v>400</v>
      </c>
      <c r="C20" s="176">
        <v>20</v>
      </c>
      <c r="D20" s="176"/>
      <c r="E20" s="176">
        <v>20</v>
      </c>
      <c r="F20" s="176"/>
      <c r="G20" s="176">
        <v>20</v>
      </c>
      <c r="I20" s="176">
        <v>21</v>
      </c>
    </row>
    <row r="23" spans="1:9" x14ac:dyDescent="0.2">
      <c r="A23" t="s">
        <v>173</v>
      </c>
      <c r="C23" t="s">
        <v>497</v>
      </c>
      <c r="E23" t="s">
        <v>497</v>
      </c>
      <c r="G23" t="s">
        <v>497</v>
      </c>
      <c r="I23" t="s">
        <v>501</v>
      </c>
    </row>
    <row r="24" spans="1:9" x14ac:dyDescent="0.2">
      <c r="C24" t="s">
        <v>498</v>
      </c>
      <c r="E24" t="s">
        <v>499</v>
      </c>
      <c r="G24" t="s">
        <v>500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70FF-1A70-4FC0-8B83-84A2705632DA}">
  <sheetPr codeName="Sheet10">
    <pageSetUpPr fitToPage="1"/>
  </sheetPr>
  <dimension ref="B1:J65"/>
  <sheetViews>
    <sheetView zoomScaleNormal="100" workbookViewId="0">
      <pane ySplit="4" topLeftCell="A5" activePane="bottomLeft" state="frozen"/>
      <selection pane="bottomLeft" activeCell="M49" sqref="M49"/>
    </sheetView>
  </sheetViews>
  <sheetFormatPr defaultRowHeight="12" x14ac:dyDescent="0.2"/>
  <cols>
    <col min="1" max="1" width="0.85546875" customWidth="1"/>
    <col min="2" max="2" width="44.140625" customWidth="1"/>
    <col min="3" max="3" width="7.5703125" style="15" bestFit="1" customWidth="1"/>
    <col min="4" max="4" width="10" style="15" bestFit="1" customWidth="1"/>
    <col min="5" max="5" width="7.5703125" style="15" bestFit="1" customWidth="1"/>
    <col min="6" max="6" width="4.85546875" customWidth="1"/>
    <col min="7" max="8" width="10.42578125" bestFit="1" customWidth="1"/>
    <col min="9" max="9" width="0" hidden="1" customWidth="1"/>
    <col min="10" max="10" width="9.85546875" bestFit="1" customWidth="1"/>
  </cols>
  <sheetData>
    <row r="1" spans="2:10" ht="20.25" thickBot="1" x14ac:dyDescent="0.45">
      <c r="B1" s="69" t="s">
        <v>583</v>
      </c>
      <c r="C1" s="70"/>
      <c r="D1" s="70"/>
      <c r="E1" s="70"/>
      <c r="F1" s="71"/>
      <c r="G1" s="71"/>
      <c r="H1" s="71"/>
      <c r="I1" s="71"/>
      <c r="J1" s="71"/>
    </row>
    <row r="3" spans="2:10" x14ac:dyDescent="0.2">
      <c r="C3" s="195">
        <v>2025</v>
      </c>
      <c r="D3" s="195">
        <v>2024</v>
      </c>
      <c r="E3" s="195">
        <v>2023</v>
      </c>
      <c r="F3" s="109"/>
      <c r="G3" s="109"/>
      <c r="H3" s="110"/>
    </row>
    <row r="4" spans="2:10" x14ac:dyDescent="0.2">
      <c r="B4" s="18"/>
      <c r="C4" s="196" t="s">
        <v>154</v>
      </c>
      <c r="D4" s="196" t="s">
        <v>157</v>
      </c>
      <c r="E4" s="196" t="s">
        <v>577</v>
      </c>
      <c r="F4" s="55"/>
      <c r="G4" s="59" t="s">
        <v>246</v>
      </c>
      <c r="H4" s="59" t="s">
        <v>584</v>
      </c>
      <c r="J4" s="59" t="s">
        <v>173</v>
      </c>
    </row>
    <row r="5" spans="2:10" x14ac:dyDescent="0.2">
      <c r="C5" s="14"/>
      <c r="D5" s="14"/>
      <c r="E5" s="14"/>
      <c r="G5" s="58"/>
      <c r="H5" s="58"/>
    </row>
    <row r="6" spans="2:10" x14ac:dyDescent="0.2">
      <c r="B6" s="60" t="s">
        <v>143</v>
      </c>
    </row>
    <row r="8" spans="2:10" x14ac:dyDescent="0.2">
      <c r="B8" s="52" t="s">
        <v>206</v>
      </c>
      <c r="D8" s="15">
        <v>0</v>
      </c>
      <c r="E8" s="15">
        <v>900</v>
      </c>
      <c r="G8" s="17">
        <f>C8-D8</f>
        <v>0</v>
      </c>
      <c r="H8" s="17">
        <f>C8-E8</f>
        <v>-900</v>
      </c>
      <c r="J8" s="85"/>
    </row>
    <row r="9" spans="2:10" x14ac:dyDescent="0.2">
      <c r="B9" s="52"/>
      <c r="G9" s="17"/>
      <c r="H9" s="17"/>
    </row>
    <row r="10" spans="2:10" hidden="1" x14ac:dyDescent="0.2">
      <c r="B10" s="52"/>
      <c r="G10" s="17"/>
      <c r="H10" s="17"/>
    </row>
    <row r="11" spans="2:10" hidden="1" x14ac:dyDescent="0.2">
      <c r="B11" s="52"/>
      <c r="G11" s="17"/>
      <c r="H11" s="17"/>
    </row>
    <row r="12" spans="2:10" hidden="1" x14ac:dyDescent="0.2">
      <c r="B12" s="52"/>
      <c r="G12" s="17"/>
      <c r="H12" s="17"/>
    </row>
    <row r="13" spans="2:10" hidden="1" x14ac:dyDescent="0.2">
      <c r="B13" s="52"/>
      <c r="G13" s="17"/>
      <c r="H13" s="17"/>
    </row>
    <row r="14" spans="2:10" hidden="1" x14ac:dyDescent="0.2">
      <c r="B14" s="52"/>
      <c r="G14" s="17"/>
      <c r="H14" s="17"/>
    </row>
    <row r="15" spans="2:10" hidden="1" x14ac:dyDescent="0.2">
      <c r="B15" s="52"/>
      <c r="G15" s="17"/>
      <c r="H15" s="17"/>
    </row>
    <row r="16" spans="2:10" hidden="1" x14ac:dyDescent="0.2">
      <c r="B16" s="52"/>
      <c r="G16" s="17"/>
      <c r="H16" s="17"/>
    </row>
    <row r="17" spans="2:10" hidden="1" x14ac:dyDescent="0.2">
      <c r="B17" s="52"/>
      <c r="G17" s="17"/>
      <c r="H17" s="17"/>
    </row>
    <row r="18" spans="2:10" hidden="1" x14ac:dyDescent="0.2">
      <c r="B18" s="52"/>
      <c r="G18" s="17"/>
      <c r="H18" s="17"/>
    </row>
    <row r="19" spans="2:10" hidden="1" x14ac:dyDescent="0.2">
      <c r="B19" s="54"/>
      <c r="G19" s="17"/>
      <c r="H19" s="17"/>
    </row>
    <row r="20" spans="2:10" hidden="1" x14ac:dyDescent="0.2">
      <c r="B20" s="54"/>
      <c r="G20" s="17"/>
      <c r="H20" s="17"/>
    </row>
    <row r="21" spans="2:10" x14ac:dyDescent="0.2">
      <c r="B21" s="53"/>
    </row>
    <row r="22" spans="2:10" x14ac:dyDescent="0.2">
      <c r="B22" s="61" t="s">
        <v>151</v>
      </c>
      <c r="C22" s="55">
        <f>SUM(C8:C21)</f>
        <v>0</v>
      </c>
      <c r="D22" s="55">
        <f>SUM(D8:D21)</f>
        <v>0</v>
      </c>
      <c r="E22" s="55">
        <f>SUM(E8:E21)</f>
        <v>900</v>
      </c>
      <c r="F22" s="18"/>
      <c r="G22" s="55">
        <f>SUM(G8:G21)</f>
        <v>0</v>
      </c>
      <c r="H22" s="55">
        <f>SUM(H8:H21)</f>
        <v>-900</v>
      </c>
    </row>
    <row r="24" spans="2:10" x14ac:dyDescent="0.2">
      <c r="B24" s="62" t="s">
        <v>150</v>
      </c>
    </row>
    <row r="26" spans="2:10" x14ac:dyDescent="0.2">
      <c r="B26" s="13" t="s">
        <v>211</v>
      </c>
      <c r="C26" s="15">
        <v>-4000</v>
      </c>
      <c r="D26" s="15">
        <v>-4000</v>
      </c>
      <c r="E26" s="15">
        <v>-2000</v>
      </c>
      <c r="G26" s="17">
        <f t="shared" ref="G26:G30" si="0">C26-D26</f>
        <v>0</v>
      </c>
      <c r="H26" s="17">
        <f t="shared" ref="H26:H30" si="1">C26-E26</f>
        <v>-2000</v>
      </c>
    </row>
    <row r="27" spans="2:10" x14ac:dyDescent="0.2">
      <c r="B27" s="13" t="s">
        <v>212</v>
      </c>
      <c r="C27" s="15">
        <v>-2250</v>
      </c>
      <c r="D27" s="15">
        <v>-2250</v>
      </c>
      <c r="E27" s="15">
        <v>0</v>
      </c>
      <c r="G27" s="17">
        <f t="shared" si="0"/>
        <v>0</v>
      </c>
      <c r="H27" s="17">
        <f t="shared" si="1"/>
        <v>-2250</v>
      </c>
    </row>
    <row r="28" spans="2:10" x14ac:dyDescent="0.2">
      <c r="B28" s="52" t="s">
        <v>96</v>
      </c>
      <c r="C28" s="15">
        <v>-2250</v>
      </c>
      <c r="D28" s="15">
        <v>-2250</v>
      </c>
      <c r="E28" s="15">
        <v>-4126.03</v>
      </c>
      <c r="G28" s="17">
        <f t="shared" si="0"/>
        <v>0</v>
      </c>
      <c r="H28" s="17">
        <f t="shared" si="1"/>
        <v>1876.0299999999997</v>
      </c>
      <c r="J28" s="13"/>
    </row>
    <row r="29" spans="2:10" x14ac:dyDescent="0.2">
      <c r="B29" s="52" t="s">
        <v>97</v>
      </c>
      <c r="C29" s="15">
        <v>-2000</v>
      </c>
      <c r="D29" s="15">
        <v>-2000</v>
      </c>
      <c r="E29" s="15">
        <v>-4900</v>
      </c>
      <c r="G29" s="17">
        <f t="shared" si="0"/>
        <v>0</v>
      </c>
      <c r="H29" s="17">
        <f t="shared" si="1"/>
        <v>2900</v>
      </c>
    </row>
    <row r="30" spans="2:10" x14ac:dyDescent="0.2">
      <c r="B30" s="72" t="s">
        <v>167</v>
      </c>
      <c r="C30" s="15">
        <v>-2000</v>
      </c>
      <c r="D30" s="15">
        <v>-2000</v>
      </c>
      <c r="E30" s="15">
        <v>-2000</v>
      </c>
      <c r="G30" s="17">
        <f t="shared" si="0"/>
        <v>0</v>
      </c>
      <c r="H30" s="17">
        <f t="shared" si="1"/>
        <v>0</v>
      </c>
    </row>
    <row r="31" spans="2:10" hidden="1" x14ac:dyDescent="0.2">
      <c r="B31" s="52"/>
      <c r="G31" s="17"/>
      <c r="H31" s="17"/>
    </row>
    <row r="32" spans="2:10" hidden="1" x14ac:dyDescent="0.2">
      <c r="B32" s="52"/>
      <c r="G32" s="17"/>
      <c r="H32" s="17"/>
    </row>
    <row r="33" spans="2:8" hidden="1" x14ac:dyDescent="0.2">
      <c r="B33" s="52"/>
      <c r="G33" s="17"/>
      <c r="H33" s="17"/>
    </row>
    <row r="34" spans="2:8" hidden="1" x14ac:dyDescent="0.2">
      <c r="B34" s="52"/>
      <c r="G34" s="17"/>
      <c r="H34" s="17"/>
    </row>
    <row r="35" spans="2:8" hidden="1" x14ac:dyDescent="0.2">
      <c r="B35" s="52"/>
      <c r="G35" s="17"/>
      <c r="H35" s="17"/>
    </row>
    <row r="36" spans="2:8" hidden="1" x14ac:dyDescent="0.2">
      <c r="B36" s="52"/>
      <c r="G36" s="17"/>
      <c r="H36" s="17"/>
    </row>
    <row r="37" spans="2:8" hidden="1" x14ac:dyDescent="0.2">
      <c r="B37" s="52"/>
      <c r="G37" s="17"/>
      <c r="H37" s="17"/>
    </row>
    <row r="38" spans="2:8" hidden="1" x14ac:dyDescent="0.2">
      <c r="B38" s="52"/>
      <c r="G38" s="17"/>
      <c r="H38" s="17"/>
    </row>
    <row r="39" spans="2:8" hidden="1" x14ac:dyDescent="0.2">
      <c r="B39" s="54"/>
      <c r="G39" s="17"/>
      <c r="H39" s="17"/>
    </row>
    <row r="40" spans="2:8" hidden="1" x14ac:dyDescent="0.2">
      <c r="B40" s="54"/>
      <c r="G40" s="17"/>
      <c r="H40" s="17"/>
    </row>
    <row r="42" spans="2:8" x14ac:dyDescent="0.2">
      <c r="B42" s="61" t="s">
        <v>152</v>
      </c>
      <c r="C42" s="55">
        <f>SUM(C25:C41)</f>
        <v>-12500</v>
      </c>
      <c r="D42" s="55">
        <f>SUM(D25:D41)</f>
        <v>-12500</v>
      </c>
      <c r="E42" s="55">
        <f>SUM(E25:E41)</f>
        <v>-13026.029999999999</v>
      </c>
      <c r="F42" s="18"/>
      <c r="G42" s="55">
        <f>SUM(G25:G41)</f>
        <v>0</v>
      </c>
      <c r="H42" s="55">
        <f>SUM(H25:H41)</f>
        <v>526.02999999999975</v>
      </c>
    </row>
    <row r="43" spans="2:8" x14ac:dyDescent="0.2">
      <c r="B43" s="18"/>
      <c r="C43" s="55"/>
      <c r="D43" s="55"/>
      <c r="E43" s="55"/>
      <c r="F43" s="18"/>
      <c r="G43" s="55"/>
      <c r="H43" s="55"/>
    </row>
    <row r="44" spans="2:8" x14ac:dyDescent="0.2">
      <c r="B44" s="63" t="s">
        <v>99</v>
      </c>
      <c r="C44" s="64">
        <f>C22+C42</f>
        <v>-12500</v>
      </c>
      <c r="D44" s="64">
        <f>D22+D42</f>
        <v>-12500</v>
      </c>
      <c r="E44" s="64">
        <f>E22+E42</f>
        <v>-12126.029999999999</v>
      </c>
      <c r="F44" s="65"/>
      <c r="G44" s="64">
        <f>G22+G42</f>
        <v>0</v>
      </c>
      <c r="H44" s="64">
        <f>H22+H42</f>
        <v>-373.97000000000025</v>
      </c>
    </row>
    <row r="46" spans="2:8" x14ac:dyDescent="0.2">
      <c r="B46" s="52"/>
      <c r="G46" s="17">
        <f>C46-D46</f>
        <v>0</v>
      </c>
      <c r="H46" s="17">
        <f>C46-E46</f>
        <v>0</v>
      </c>
    </row>
    <row r="48" spans="2:8" ht="12.75" thickBot="1" x14ac:dyDescent="0.25">
      <c r="B48" s="20" t="s">
        <v>153</v>
      </c>
      <c r="C48" s="66">
        <f>C44+C46</f>
        <v>-12500</v>
      </c>
      <c r="D48" s="66">
        <f>D44+D46</f>
        <v>-12500</v>
      </c>
      <c r="E48" s="66">
        <f>E44+E46</f>
        <v>-12126.029999999999</v>
      </c>
      <c r="F48" s="67"/>
      <c r="G48" s="66">
        <f>G44+G46</f>
        <v>0</v>
      </c>
      <c r="H48" s="66">
        <f>H44+H46</f>
        <v>-373.97000000000025</v>
      </c>
    </row>
    <row r="49" spans="2:10" ht="12.75" thickTop="1" x14ac:dyDescent="0.2"/>
    <row r="50" spans="2:10" hidden="1" x14ac:dyDescent="0.2"/>
    <row r="51" spans="2:10" hidden="1" x14ac:dyDescent="0.2">
      <c r="B51" s="60" t="s">
        <v>158</v>
      </c>
    </row>
    <row r="52" spans="2:10" hidden="1" x14ac:dyDescent="0.2"/>
    <row r="53" spans="2:10" hidden="1" x14ac:dyDescent="0.2">
      <c r="B53" s="13"/>
      <c r="G53" s="17">
        <f>C53-D53</f>
        <v>0</v>
      </c>
      <c r="H53" s="17">
        <f>C53-E53</f>
        <v>0</v>
      </c>
      <c r="J53" s="13"/>
    </row>
    <row r="54" spans="2:10" hidden="1" x14ac:dyDescent="0.2">
      <c r="B54" s="13"/>
      <c r="G54" s="17">
        <f>C54-D54</f>
        <v>0</v>
      </c>
      <c r="H54" s="17">
        <f>C54-E54</f>
        <v>0</v>
      </c>
      <c r="J54" s="13"/>
    </row>
    <row r="55" spans="2:10" hidden="1" x14ac:dyDescent="0.2">
      <c r="B55" s="13"/>
      <c r="G55" s="17">
        <f>C55-D55</f>
        <v>0</v>
      </c>
      <c r="H55" s="17">
        <f>C55-E55</f>
        <v>0</v>
      </c>
    </row>
    <row r="56" spans="2:10" hidden="1" x14ac:dyDescent="0.2">
      <c r="B56" s="13"/>
      <c r="G56" s="17">
        <f>C56-D56</f>
        <v>0</v>
      </c>
      <c r="H56" s="17">
        <f>C56-E56</f>
        <v>0</v>
      </c>
      <c r="J56" s="13"/>
    </row>
    <row r="57" spans="2:10" hidden="1" x14ac:dyDescent="0.2">
      <c r="B57" s="13"/>
      <c r="G57" s="17">
        <f>C57-D57</f>
        <v>0</v>
      </c>
      <c r="H57" s="17">
        <f>C57-E57</f>
        <v>0</v>
      </c>
      <c r="J57" s="13"/>
    </row>
    <row r="58" spans="2:10" hidden="1" x14ac:dyDescent="0.2">
      <c r="B58" s="13"/>
      <c r="G58" s="17"/>
      <c r="H58" s="17"/>
    </row>
    <row r="59" spans="2:10" hidden="1" x14ac:dyDescent="0.2"/>
    <row r="60" spans="2:10" s="18" customFormat="1" ht="12.75" hidden="1" thickBot="1" x14ac:dyDescent="0.25">
      <c r="B60" s="20" t="s">
        <v>172</v>
      </c>
      <c r="C60" s="66">
        <f>SUM(C53:C59)</f>
        <v>0</v>
      </c>
      <c r="D60" s="66">
        <f>SUM(D53:D59)</f>
        <v>0</v>
      </c>
      <c r="E60" s="66">
        <f>SUM(E53:E59)</f>
        <v>0</v>
      </c>
      <c r="F60" s="20"/>
      <c r="G60" s="66">
        <f>SUM(G53:G59)</f>
        <v>0</v>
      </c>
      <c r="H60" s="66">
        <f>SUM(H53:H59)</f>
        <v>0</v>
      </c>
    </row>
    <row r="61" spans="2:10" ht="12.75" hidden="1" thickTop="1" x14ac:dyDescent="0.2"/>
    <row r="62" spans="2:10" s="68" customFormat="1" hidden="1" x14ac:dyDescent="0.2">
      <c r="B62" s="68" t="s">
        <v>171</v>
      </c>
      <c r="C62" s="57">
        <f>C60-C48</f>
        <v>12500</v>
      </c>
      <c r="D62" s="57">
        <f>D60-D48</f>
        <v>12500</v>
      </c>
      <c r="E62" s="57">
        <f>E60-E48</f>
        <v>12126.029999999999</v>
      </c>
      <c r="G62" s="57">
        <f>G60-G48</f>
        <v>0</v>
      </c>
      <c r="H62" s="57">
        <f>H60-H48</f>
        <v>373.97000000000025</v>
      </c>
    </row>
    <row r="63" spans="2:10" hidden="1" x14ac:dyDescent="0.2">
      <c r="B63" t="s">
        <v>207</v>
      </c>
    </row>
    <row r="64" spans="2:10" hidden="1" x14ac:dyDescent="0.2"/>
    <row r="65" spans="2:2" hidden="1" x14ac:dyDescent="0.2">
      <c r="B65" t="s">
        <v>208</v>
      </c>
    </row>
  </sheetData>
  <pageMargins left="0.70866141732283472" right="0.70866141732283472" top="0.74803149606299213" bottom="0.74803149606299213" header="0.31496062992125984" footer="0.31496062992125984"/>
  <pageSetup paperSize="9" scale="9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15AD-61AB-4D3B-B649-286DDE93D877}">
  <sheetPr codeName="Sheet4"/>
  <dimension ref="A1:G39"/>
  <sheetViews>
    <sheetView zoomScaleNormal="100" workbookViewId="0">
      <selection activeCell="H46" sqref="H46"/>
    </sheetView>
  </sheetViews>
  <sheetFormatPr defaultRowHeight="12.75" x14ac:dyDescent="0.2"/>
  <cols>
    <col min="1" max="1" width="13.85546875" style="126" bestFit="1" customWidth="1"/>
    <col min="2" max="2" width="40" style="126" bestFit="1" customWidth="1"/>
    <col min="3" max="4" width="10.140625" style="126" bestFit="1" customWidth="1"/>
    <col min="5" max="5" width="7.42578125" style="126" bestFit="1" customWidth="1"/>
    <col min="6" max="6" width="14.5703125" style="126" bestFit="1" customWidth="1"/>
    <col min="7" max="7" width="21.5703125" style="126" bestFit="1" customWidth="1"/>
    <col min="8" max="16384" width="9.140625" style="126"/>
  </cols>
  <sheetData>
    <row r="1" spans="1:7" s="125" customFormat="1" x14ac:dyDescent="0.2">
      <c r="A1" s="125" t="s">
        <v>267</v>
      </c>
      <c r="B1" s="125" t="s">
        <v>268</v>
      </c>
      <c r="C1" s="125" t="s">
        <v>269</v>
      </c>
      <c r="D1" s="125" t="s">
        <v>270</v>
      </c>
      <c r="E1" s="125" t="s">
        <v>271</v>
      </c>
      <c r="F1" s="125" t="s">
        <v>272</v>
      </c>
      <c r="G1" s="125" t="s">
        <v>273</v>
      </c>
    </row>
    <row r="2" spans="1:7" x14ac:dyDescent="0.2">
      <c r="A2" s="126" t="s">
        <v>139</v>
      </c>
      <c r="B2" s="126" t="s">
        <v>274</v>
      </c>
      <c r="C2" s="127">
        <v>44685</v>
      </c>
      <c r="D2" s="127">
        <v>44689</v>
      </c>
      <c r="E2" s="126">
        <v>2022</v>
      </c>
      <c r="F2" s="126" t="s">
        <v>275</v>
      </c>
    </row>
    <row r="3" spans="1:7" x14ac:dyDescent="0.2">
      <c r="A3" s="126" t="s">
        <v>139</v>
      </c>
      <c r="B3" s="126" t="s">
        <v>167</v>
      </c>
      <c r="C3" s="127">
        <v>44700</v>
      </c>
      <c r="D3" s="127">
        <v>44703</v>
      </c>
      <c r="E3" s="126">
        <v>2022</v>
      </c>
      <c r="F3" s="126" t="s">
        <v>275</v>
      </c>
    </row>
    <row r="4" spans="1:7" x14ac:dyDescent="0.2">
      <c r="A4" s="126" t="s">
        <v>134</v>
      </c>
      <c r="B4" s="126" t="s">
        <v>276</v>
      </c>
      <c r="C4" s="127">
        <v>44731</v>
      </c>
      <c r="D4" s="127">
        <v>44742</v>
      </c>
      <c r="E4" s="126">
        <v>2022</v>
      </c>
      <c r="F4" s="126" t="s">
        <v>277</v>
      </c>
      <c r="G4" s="126" t="s">
        <v>278</v>
      </c>
    </row>
    <row r="5" spans="1:7" x14ac:dyDescent="0.2">
      <c r="A5" s="126" t="s">
        <v>139</v>
      </c>
      <c r="B5" s="126" t="s">
        <v>168</v>
      </c>
      <c r="C5" s="127">
        <v>44743</v>
      </c>
      <c r="D5" s="127">
        <v>45107</v>
      </c>
      <c r="E5" s="126">
        <v>2023</v>
      </c>
      <c r="F5" s="126" t="s">
        <v>279</v>
      </c>
    </row>
    <row r="6" spans="1:7" x14ac:dyDescent="0.2">
      <c r="A6" s="126" t="s">
        <v>135</v>
      </c>
      <c r="B6" s="126" t="s">
        <v>280</v>
      </c>
      <c r="C6" s="127">
        <v>44809</v>
      </c>
      <c r="D6" s="127">
        <v>44821</v>
      </c>
      <c r="E6" s="126">
        <v>2023</v>
      </c>
    </row>
    <row r="7" spans="1:7" x14ac:dyDescent="0.2">
      <c r="A7" s="126" t="s">
        <v>134</v>
      </c>
      <c r="B7" s="126" t="s">
        <v>281</v>
      </c>
      <c r="C7" s="127">
        <v>44861</v>
      </c>
      <c r="D7" s="127">
        <v>44870</v>
      </c>
      <c r="E7" s="126">
        <v>2023</v>
      </c>
      <c r="F7" s="126" t="s">
        <v>282</v>
      </c>
      <c r="G7" s="126" t="s">
        <v>278</v>
      </c>
    </row>
    <row r="8" spans="1:7" x14ac:dyDescent="0.2">
      <c r="A8" s="126" t="s">
        <v>135</v>
      </c>
      <c r="B8" s="126" t="s">
        <v>283</v>
      </c>
      <c r="C8" s="127">
        <v>44870</v>
      </c>
      <c r="D8" s="127">
        <v>44880</v>
      </c>
      <c r="E8" s="126">
        <v>2023</v>
      </c>
    </row>
    <row r="9" spans="1:7" x14ac:dyDescent="0.2">
      <c r="A9" s="126" t="s">
        <v>134</v>
      </c>
      <c r="B9" s="126" t="s">
        <v>284</v>
      </c>
      <c r="C9" s="127">
        <v>44879</v>
      </c>
      <c r="D9" s="127">
        <v>44892</v>
      </c>
      <c r="E9" s="126">
        <v>2023</v>
      </c>
      <c r="F9" s="126" t="s">
        <v>277</v>
      </c>
      <c r="G9" s="126" t="s">
        <v>278</v>
      </c>
    </row>
    <row r="10" spans="1:7" x14ac:dyDescent="0.2">
      <c r="A10" s="126" t="s">
        <v>139</v>
      </c>
      <c r="B10" s="126" t="s">
        <v>285</v>
      </c>
      <c r="C10" s="127">
        <v>44898</v>
      </c>
      <c r="D10" s="127">
        <v>44898</v>
      </c>
      <c r="E10" s="126">
        <v>2023</v>
      </c>
      <c r="F10" s="126" t="s">
        <v>286</v>
      </c>
      <c r="G10" s="126" t="s">
        <v>287</v>
      </c>
    </row>
    <row r="11" spans="1:7" x14ac:dyDescent="0.2">
      <c r="A11" s="126" t="s">
        <v>139</v>
      </c>
      <c r="B11" s="126" t="s">
        <v>288</v>
      </c>
      <c r="C11" s="127">
        <v>44934</v>
      </c>
      <c r="D11" s="127">
        <v>45200</v>
      </c>
      <c r="E11" s="126">
        <v>2023</v>
      </c>
      <c r="F11" s="126" t="s">
        <v>289</v>
      </c>
      <c r="G11" s="126" t="s">
        <v>290</v>
      </c>
    </row>
    <row r="12" spans="1:7" x14ac:dyDescent="0.2">
      <c r="A12" s="126" t="s">
        <v>139</v>
      </c>
      <c r="B12" s="126" t="s">
        <v>291</v>
      </c>
      <c r="C12" s="127">
        <v>44941</v>
      </c>
      <c r="D12" s="127">
        <v>45214</v>
      </c>
      <c r="E12" s="126">
        <v>2023</v>
      </c>
      <c r="F12" s="126" t="s">
        <v>289</v>
      </c>
      <c r="G12" s="126" t="s">
        <v>290</v>
      </c>
    </row>
    <row r="13" spans="1:7" x14ac:dyDescent="0.2">
      <c r="A13" s="126" t="s">
        <v>139</v>
      </c>
      <c r="B13" s="126" t="s">
        <v>292</v>
      </c>
      <c r="C13" s="127">
        <v>44972</v>
      </c>
      <c r="D13" s="127">
        <v>44976</v>
      </c>
      <c r="E13" s="126">
        <v>2023</v>
      </c>
      <c r="F13" s="126" t="s">
        <v>160</v>
      </c>
    </row>
    <row r="14" spans="1:7" x14ac:dyDescent="0.2">
      <c r="A14" s="126" t="s">
        <v>134</v>
      </c>
      <c r="B14" s="126" t="s">
        <v>293</v>
      </c>
      <c r="C14" s="127">
        <v>44987</v>
      </c>
      <c r="D14" s="127">
        <v>44999</v>
      </c>
      <c r="E14" s="126">
        <v>2023</v>
      </c>
      <c r="F14" s="126" t="s">
        <v>294</v>
      </c>
    </row>
    <row r="15" spans="1:7" x14ac:dyDescent="0.2">
      <c r="A15" s="126" t="s">
        <v>139</v>
      </c>
      <c r="B15" s="126" t="s">
        <v>295</v>
      </c>
      <c r="C15" s="127">
        <v>45011</v>
      </c>
      <c r="D15" s="127">
        <v>45108</v>
      </c>
      <c r="E15" s="126">
        <v>2023</v>
      </c>
      <c r="G15" s="126" t="s">
        <v>296</v>
      </c>
    </row>
    <row r="16" spans="1:7" x14ac:dyDescent="0.2">
      <c r="A16" s="126" t="s">
        <v>135</v>
      </c>
      <c r="B16" s="126" t="s">
        <v>297</v>
      </c>
      <c r="C16" s="127">
        <v>45029</v>
      </c>
      <c r="D16" s="127">
        <v>45039</v>
      </c>
      <c r="E16" s="126">
        <v>2023</v>
      </c>
      <c r="F16" s="126" t="s">
        <v>298</v>
      </c>
    </row>
    <row r="17" spans="1:7" x14ac:dyDescent="0.2">
      <c r="A17" s="126" t="s">
        <v>139</v>
      </c>
      <c r="B17" s="126" t="s">
        <v>274</v>
      </c>
      <c r="C17" s="127">
        <v>45050</v>
      </c>
      <c r="D17" s="127">
        <v>45054</v>
      </c>
      <c r="E17" s="126">
        <v>2023</v>
      </c>
      <c r="F17" s="126" t="s">
        <v>286</v>
      </c>
    </row>
    <row r="18" spans="1:7" x14ac:dyDescent="0.2">
      <c r="A18" s="126" t="s">
        <v>135</v>
      </c>
      <c r="B18" s="126" t="s">
        <v>299</v>
      </c>
      <c r="C18" s="127">
        <v>45058</v>
      </c>
      <c r="D18" s="127">
        <v>45068</v>
      </c>
      <c r="E18" s="126">
        <v>2023</v>
      </c>
      <c r="F18" s="126" t="s">
        <v>300</v>
      </c>
    </row>
    <row r="19" spans="1:7" x14ac:dyDescent="0.2">
      <c r="A19" s="126" t="s">
        <v>134</v>
      </c>
      <c r="B19" s="126" t="s">
        <v>301</v>
      </c>
      <c r="C19" s="127">
        <v>45071</v>
      </c>
      <c r="D19" s="127">
        <v>45081</v>
      </c>
      <c r="E19" s="126">
        <v>2023</v>
      </c>
      <c r="F19" s="126" t="s">
        <v>277</v>
      </c>
      <c r="G19" s="126" t="s">
        <v>278</v>
      </c>
    </row>
    <row r="20" spans="1:7" x14ac:dyDescent="0.2">
      <c r="A20" s="126" t="s">
        <v>139</v>
      </c>
      <c r="B20" s="126" t="s">
        <v>167</v>
      </c>
      <c r="C20" s="127">
        <v>45072</v>
      </c>
      <c r="D20" s="127">
        <v>45075</v>
      </c>
      <c r="E20" s="126">
        <v>2023</v>
      </c>
      <c r="F20" s="126" t="s">
        <v>275</v>
      </c>
    </row>
    <row r="21" spans="1:7" x14ac:dyDescent="0.2">
      <c r="A21" s="126" t="s">
        <v>135</v>
      </c>
      <c r="B21" s="126" t="s">
        <v>302</v>
      </c>
      <c r="C21" s="127">
        <v>45082</v>
      </c>
      <c r="D21" s="127">
        <v>45089</v>
      </c>
      <c r="E21" s="126">
        <v>2023</v>
      </c>
      <c r="F21" s="126" t="s">
        <v>303</v>
      </c>
    </row>
    <row r="22" spans="1:7" x14ac:dyDescent="0.2">
      <c r="A22" s="126" t="s">
        <v>134</v>
      </c>
      <c r="B22" s="126" t="s">
        <v>281</v>
      </c>
      <c r="C22" s="127">
        <v>45119</v>
      </c>
      <c r="D22" s="127">
        <v>45127</v>
      </c>
      <c r="E22" s="126">
        <v>2023</v>
      </c>
      <c r="G22" s="126" t="s">
        <v>278</v>
      </c>
    </row>
    <row r="23" spans="1:7" x14ac:dyDescent="0.2">
      <c r="A23" s="126" t="s">
        <v>139</v>
      </c>
      <c r="B23" s="126" t="s">
        <v>304</v>
      </c>
      <c r="C23" s="127">
        <v>45127</v>
      </c>
      <c r="D23" s="127">
        <v>45137</v>
      </c>
      <c r="E23" s="126">
        <v>2023</v>
      </c>
      <c r="F23" s="126" t="s">
        <v>305</v>
      </c>
    </row>
    <row r="24" spans="1:7" x14ac:dyDescent="0.2">
      <c r="A24" s="126" t="s">
        <v>135</v>
      </c>
      <c r="B24" s="126" t="s">
        <v>191</v>
      </c>
      <c r="C24" s="127">
        <v>45151</v>
      </c>
      <c r="D24" s="127">
        <v>45156</v>
      </c>
      <c r="E24" s="126">
        <v>2023</v>
      </c>
      <c r="F24" s="126" t="s">
        <v>306</v>
      </c>
    </row>
    <row r="25" spans="1:7" x14ac:dyDescent="0.2">
      <c r="A25" s="126" t="s">
        <v>135</v>
      </c>
      <c r="B25" s="126" t="s">
        <v>196</v>
      </c>
      <c r="C25" s="127">
        <v>45156</v>
      </c>
      <c r="D25" s="127">
        <v>45158</v>
      </c>
      <c r="E25" s="126">
        <v>2023</v>
      </c>
      <c r="F25" s="126" t="s">
        <v>307</v>
      </c>
    </row>
    <row r="26" spans="1:7" x14ac:dyDescent="0.2">
      <c r="A26" s="126" t="s">
        <v>135</v>
      </c>
      <c r="B26" s="126" t="s">
        <v>283</v>
      </c>
      <c r="C26" s="127">
        <v>45173</v>
      </c>
      <c r="D26" s="127">
        <v>45184</v>
      </c>
      <c r="E26" s="126">
        <v>2024</v>
      </c>
      <c r="F26" s="126" t="s">
        <v>308</v>
      </c>
    </row>
    <row r="27" spans="1:7" x14ac:dyDescent="0.2">
      <c r="A27" s="126" t="s">
        <v>134</v>
      </c>
      <c r="B27" s="126" t="s">
        <v>276</v>
      </c>
      <c r="C27" s="127">
        <v>45187</v>
      </c>
      <c r="D27" s="127">
        <v>45198</v>
      </c>
      <c r="E27" s="126">
        <v>2024</v>
      </c>
      <c r="F27" s="126" t="s">
        <v>309</v>
      </c>
      <c r="G27" s="126" t="s">
        <v>278</v>
      </c>
    </row>
    <row r="28" spans="1:7" x14ac:dyDescent="0.2">
      <c r="A28" s="126" t="s">
        <v>135</v>
      </c>
      <c r="B28" s="126" t="s">
        <v>310</v>
      </c>
      <c r="C28" s="127">
        <v>45213</v>
      </c>
      <c r="D28" s="127">
        <v>45226</v>
      </c>
      <c r="E28" s="126">
        <v>2024</v>
      </c>
      <c r="F28" s="126" t="s">
        <v>311</v>
      </c>
    </row>
    <row r="29" spans="1:7" x14ac:dyDescent="0.2">
      <c r="A29" s="126" t="s">
        <v>139</v>
      </c>
      <c r="B29" s="126" t="s">
        <v>312</v>
      </c>
      <c r="C29" s="127">
        <v>45219</v>
      </c>
      <c r="D29" s="127">
        <v>45221</v>
      </c>
      <c r="E29" s="126">
        <v>2024</v>
      </c>
      <c r="F29" s="126" t="s">
        <v>313</v>
      </c>
    </row>
    <row r="30" spans="1:7" x14ac:dyDescent="0.2">
      <c r="A30" s="126" t="s">
        <v>134</v>
      </c>
      <c r="B30" s="126" t="s">
        <v>284</v>
      </c>
      <c r="C30" s="127">
        <v>45223</v>
      </c>
      <c r="D30" s="127">
        <v>45236</v>
      </c>
      <c r="E30" s="126">
        <v>2024</v>
      </c>
      <c r="F30" s="126" t="s">
        <v>277</v>
      </c>
      <c r="G30" s="126" t="s">
        <v>278</v>
      </c>
    </row>
    <row r="31" spans="1:7" x14ac:dyDescent="0.2">
      <c r="A31" s="126" t="s">
        <v>134</v>
      </c>
      <c r="B31" s="126" t="s">
        <v>314</v>
      </c>
      <c r="C31" s="127">
        <v>45241</v>
      </c>
      <c r="D31" s="127">
        <v>45250</v>
      </c>
      <c r="E31" s="126">
        <v>2024</v>
      </c>
      <c r="F31" s="126" t="s">
        <v>315</v>
      </c>
      <c r="G31" s="126" t="s">
        <v>316</v>
      </c>
    </row>
    <row r="32" spans="1:7" x14ac:dyDescent="0.2">
      <c r="A32" s="126" t="s">
        <v>135</v>
      </c>
      <c r="B32" s="126" t="s">
        <v>280</v>
      </c>
      <c r="C32" s="127">
        <v>45242</v>
      </c>
      <c r="D32" s="127">
        <v>45255</v>
      </c>
      <c r="E32" s="126">
        <v>2024</v>
      </c>
      <c r="F32" s="126" t="s">
        <v>277</v>
      </c>
    </row>
    <row r="33" spans="1:7" x14ac:dyDescent="0.2">
      <c r="A33" s="126" t="s">
        <v>139</v>
      </c>
      <c r="B33" s="126" t="s">
        <v>285</v>
      </c>
      <c r="C33" s="127">
        <v>45262</v>
      </c>
      <c r="D33" s="127">
        <v>45262</v>
      </c>
      <c r="E33" s="126">
        <v>2024</v>
      </c>
      <c r="F33" s="126" t="s">
        <v>286</v>
      </c>
      <c r="G33" s="126" t="s">
        <v>287</v>
      </c>
    </row>
    <row r="34" spans="1:7" x14ac:dyDescent="0.2">
      <c r="A34" s="126" t="s">
        <v>139</v>
      </c>
      <c r="B34" s="126" t="s">
        <v>292</v>
      </c>
      <c r="C34" s="127">
        <v>45341</v>
      </c>
      <c r="D34" s="127">
        <v>45346</v>
      </c>
      <c r="E34" s="126">
        <v>2024</v>
      </c>
      <c r="F34" s="126" t="s">
        <v>160</v>
      </c>
    </row>
    <row r="35" spans="1:7" x14ac:dyDescent="0.2">
      <c r="A35" s="126" t="s">
        <v>134</v>
      </c>
      <c r="B35" s="126" t="s">
        <v>281</v>
      </c>
      <c r="C35" s="127">
        <v>45418</v>
      </c>
      <c r="D35" s="127">
        <v>45428</v>
      </c>
      <c r="E35" s="126">
        <v>2024</v>
      </c>
      <c r="F35" s="126" t="s">
        <v>317</v>
      </c>
    </row>
    <row r="36" spans="1:7" x14ac:dyDescent="0.2">
      <c r="A36" s="126" t="s">
        <v>139</v>
      </c>
      <c r="B36" s="126" t="s">
        <v>274</v>
      </c>
      <c r="C36" s="127">
        <v>45436</v>
      </c>
      <c r="D36" s="127">
        <v>45440</v>
      </c>
      <c r="E36" s="126">
        <v>2024</v>
      </c>
      <c r="F36" s="126" t="s">
        <v>275</v>
      </c>
    </row>
    <row r="37" spans="1:7" x14ac:dyDescent="0.2">
      <c r="A37" s="126" t="s">
        <v>139</v>
      </c>
      <c r="B37" s="126" t="s">
        <v>167</v>
      </c>
      <c r="C37" s="127">
        <v>45463</v>
      </c>
      <c r="D37" s="127">
        <v>45466</v>
      </c>
      <c r="E37" s="126">
        <v>2024</v>
      </c>
      <c r="F37" s="126" t="s">
        <v>275</v>
      </c>
    </row>
    <row r="38" spans="1:7" x14ac:dyDescent="0.2">
      <c r="A38" s="126" t="s">
        <v>134</v>
      </c>
      <c r="B38" s="126" t="s">
        <v>276</v>
      </c>
      <c r="C38" s="127">
        <v>45474</v>
      </c>
      <c r="D38" s="127">
        <v>45485</v>
      </c>
      <c r="E38" s="126">
        <v>2024</v>
      </c>
    </row>
    <row r="39" spans="1:7" x14ac:dyDescent="0.2">
      <c r="A39" s="126" t="s">
        <v>134</v>
      </c>
      <c r="B39" s="126" t="s">
        <v>176</v>
      </c>
      <c r="C39" s="127">
        <v>45545</v>
      </c>
      <c r="D39" s="127">
        <v>45558</v>
      </c>
      <c r="E39" s="126">
        <v>2025</v>
      </c>
      <c r="F39" s="126" t="s">
        <v>318</v>
      </c>
      <c r="G39" s="126" t="s">
        <v>316</v>
      </c>
    </row>
  </sheetData>
  <autoFilter ref="A1:G1" xr:uid="{BF31C2D0-2170-4CB1-94F2-97AADA71AB3F}">
    <sortState xmlns:xlrd2="http://schemas.microsoft.com/office/spreadsheetml/2017/richdata2" ref="A2:G39">
      <sortCondition ref="C1"/>
    </sortState>
  </autoFilter>
  <pageMargins left="0.7" right="0.7" top="0.75" bottom="0.75" header="0.3" footer="0.3"/>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21DC-6A98-4A73-A5EB-4C8A220F1A6B}">
  <sheetPr codeName="Sheet12"/>
  <dimension ref="A1:C100"/>
  <sheetViews>
    <sheetView showGridLines="0" zoomScaleNormal="100" workbookViewId="0">
      <selection activeCell="I41" sqref="I41"/>
    </sheetView>
  </sheetViews>
  <sheetFormatPr defaultRowHeight="12" x14ac:dyDescent="0.2"/>
  <cols>
    <col min="1" max="1" width="40.42578125" style="93" customWidth="1"/>
    <col min="2" max="2" width="15.7109375" style="93" customWidth="1"/>
    <col min="3" max="16384" width="9.140625" style="93"/>
  </cols>
  <sheetData>
    <row r="1" spans="1:2" s="90" customFormat="1" ht="18" customHeight="1" x14ac:dyDescent="0.25">
      <c r="A1" s="89" t="s">
        <v>0</v>
      </c>
      <c r="B1" s="89"/>
    </row>
    <row r="2" spans="1:2" s="92" customFormat="1" ht="15.6" customHeight="1" x14ac:dyDescent="0.2">
      <c r="A2" s="91" t="s">
        <v>1</v>
      </c>
      <c r="B2" s="91"/>
    </row>
    <row r="3" spans="1:2" s="92" customFormat="1" ht="15.6" customHeight="1" x14ac:dyDescent="0.2">
      <c r="A3" s="91" t="s">
        <v>215</v>
      </c>
      <c r="B3" s="91"/>
    </row>
    <row r="4" spans="1:2" ht="13.35" customHeight="1" x14ac:dyDescent="0.2"/>
    <row r="5" spans="1:2" s="97" customFormat="1" ht="12.95" customHeight="1" x14ac:dyDescent="0.2">
      <c r="A5" s="95" t="s">
        <v>3</v>
      </c>
      <c r="B5" s="96" t="s">
        <v>216</v>
      </c>
    </row>
    <row r="6" spans="1:2" ht="13.35" customHeight="1" x14ac:dyDescent="0.2"/>
    <row r="7" spans="1:2" s="97" customFormat="1" ht="12.95" customHeight="1" x14ac:dyDescent="0.2">
      <c r="A7" s="94" t="s">
        <v>5</v>
      </c>
      <c r="B7" s="94"/>
    </row>
    <row r="8" spans="1:2" ht="11.85" customHeight="1" x14ac:dyDescent="0.2">
      <c r="A8" s="102" t="s">
        <v>6</v>
      </c>
      <c r="B8" s="103">
        <v>1703.96</v>
      </c>
    </row>
    <row r="9" spans="1:2" ht="11.85" customHeight="1" x14ac:dyDescent="0.2">
      <c r="A9" s="98" t="s">
        <v>7</v>
      </c>
      <c r="B9" s="99">
        <v>1</v>
      </c>
    </row>
    <row r="10" spans="1:2" ht="11.85" customHeight="1" x14ac:dyDescent="0.2">
      <c r="A10" s="98" t="s">
        <v>8</v>
      </c>
      <c r="B10" s="99">
        <v>-120.83</v>
      </c>
    </row>
    <row r="11" spans="1:2" ht="11.85" customHeight="1" x14ac:dyDescent="0.2">
      <c r="A11" s="98" t="s">
        <v>10</v>
      </c>
      <c r="B11" s="99">
        <v>3681.7</v>
      </c>
    </row>
    <row r="12" spans="1:2" ht="11.85" customHeight="1" x14ac:dyDescent="0.2">
      <c r="A12" s="98" t="s">
        <v>12</v>
      </c>
      <c r="B12" s="99">
        <v>1324.17</v>
      </c>
    </row>
    <row r="13" spans="1:2" ht="11.85" customHeight="1" x14ac:dyDescent="0.2">
      <c r="A13" s="98" t="s">
        <v>13</v>
      </c>
      <c r="B13" s="99">
        <v>4.17</v>
      </c>
    </row>
    <row r="14" spans="1:2" ht="11.85" customHeight="1" x14ac:dyDescent="0.2">
      <c r="A14" s="98" t="s">
        <v>14</v>
      </c>
      <c r="B14" s="99">
        <v>6630.85</v>
      </c>
    </row>
    <row r="15" spans="1:2" ht="11.85" customHeight="1" x14ac:dyDescent="0.2">
      <c r="A15" s="98" t="s">
        <v>15</v>
      </c>
      <c r="B15" s="99">
        <v>133.33000000000001</v>
      </c>
    </row>
    <row r="16" spans="1:2" ht="11.85" customHeight="1" x14ac:dyDescent="0.2">
      <c r="A16" s="98" t="s">
        <v>16</v>
      </c>
      <c r="B16" s="99">
        <v>860.01</v>
      </c>
    </row>
    <row r="17" spans="1:2" ht="11.85" customHeight="1" x14ac:dyDescent="0.2">
      <c r="A17" s="98" t="s">
        <v>18</v>
      </c>
      <c r="B17" s="99">
        <v>41.68</v>
      </c>
    </row>
    <row r="18" spans="1:2" ht="11.85" customHeight="1" x14ac:dyDescent="0.2">
      <c r="A18" s="98" t="s">
        <v>217</v>
      </c>
      <c r="B18" s="99">
        <v>1020</v>
      </c>
    </row>
    <row r="19" spans="1:2" ht="11.85" customHeight="1" x14ac:dyDescent="0.2">
      <c r="A19" s="98" t="s">
        <v>23</v>
      </c>
      <c r="B19" s="99">
        <v>44329.99</v>
      </c>
    </row>
    <row r="20" spans="1:2" ht="11.85" customHeight="1" x14ac:dyDescent="0.2">
      <c r="A20" s="98" t="s">
        <v>24</v>
      </c>
      <c r="B20" s="99">
        <v>256</v>
      </c>
    </row>
    <row r="21" spans="1:2" ht="11.85" customHeight="1" x14ac:dyDescent="0.2">
      <c r="A21" s="98" t="s">
        <v>28</v>
      </c>
      <c r="B21" s="99">
        <v>187.48</v>
      </c>
    </row>
    <row r="22" spans="1:2" ht="11.85" customHeight="1" x14ac:dyDescent="0.2">
      <c r="A22" s="98" t="s">
        <v>29</v>
      </c>
      <c r="B22" s="99">
        <v>174.99</v>
      </c>
    </row>
    <row r="23" spans="1:2" ht="11.85" customHeight="1" x14ac:dyDescent="0.2">
      <c r="A23" s="98" t="s">
        <v>31</v>
      </c>
      <c r="B23" s="99">
        <v>133.33000000000001</v>
      </c>
    </row>
    <row r="24" spans="1:2" ht="11.85" customHeight="1" x14ac:dyDescent="0.2">
      <c r="A24" s="98" t="s">
        <v>33</v>
      </c>
      <c r="B24" s="99">
        <v>443</v>
      </c>
    </row>
    <row r="25" spans="1:2" ht="11.85" customHeight="1" x14ac:dyDescent="0.2">
      <c r="A25" s="98" t="s">
        <v>34</v>
      </c>
      <c r="B25" s="99">
        <v>222971.47</v>
      </c>
    </row>
    <row r="26" spans="1:2" ht="11.85" customHeight="1" x14ac:dyDescent="0.2">
      <c r="A26" s="98" t="s">
        <v>35</v>
      </c>
      <c r="B26" s="99">
        <v>120</v>
      </c>
    </row>
    <row r="27" spans="1:2" ht="11.85" customHeight="1" x14ac:dyDescent="0.2">
      <c r="A27" s="98" t="s">
        <v>36</v>
      </c>
      <c r="B27" s="99">
        <v>64</v>
      </c>
    </row>
    <row r="28" spans="1:2" ht="11.85" customHeight="1" x14ac:dyDescent="0.2">
      <c r="A28" s="98" t="s">
        <v>37</v>
      </c>
      <c r="B28" s="99">
        <v>327.64999999999998</v>
      </c>
    </row>
    <row r="29" spans="1:2" ht="11.85" customHeight="1" x14ac:dyDescent="0.2">
      <c r="A29" s="98" t="s">
        <v>38</v>
      </c>
      <c r="B29" s="99">
        <v>38.75</v>
      </c>
    </row>
    <row r="30" spans="1:2" ht="11.85" customHeight="1" x14ac:dyDescent="0.2">
      <c r="A30" s="98" t="s">
        <v>40</v>
      </c>
      <c r="B30" s="99">
        <v>-150</v>
      </c>
    </row>
    <row r="31" spans="1:2" ht="11.85" customHeight="1" x14ac:dyDescent="0.2">
      <c r="A31" s="98" t="s">
        <v>41</v>
      </c>
      <c r="B31" s="99">
        <v>-20</v>
      </c>
    </row>
    <row r="32" spans="1:2" ht="11.85" customHeight="1" x14ac:dyDescent="0.2">
      <c r="A32" s="98" t="s">
        <v>42</v>
      </c>
      <c r="B32" s="99">
        <v>410</v>
      </c>
    </row>
    <row r="33" spans="1:3" ht="11.85" customHeight="1" x14ac:dyDescent="0.2">
      <c r="A33" s="98" t="s">
        <v>43</v>
      </c>
      <c r="B33" s="99">
        <v>690.83</v>
      </c>
    </row>
    <row r="34" spans="1:3" ht="11.85" customHeight="1" x14ac:dyDescent="0.2">
      <c r="A34" s="98" t="s">
        <v>44</v>
      </c>
      <c r="B34" s="99">
        <v>331.24</v>
      </c>
    </row>
    <row r="35" spans="1:3" ht="11.85" customHeight="1" x14ac:dyDescent="0.2">
      <c r="A35" s="98" t="s">
        <v>46</v>
      </c>
      <c r="B35" s="99">
        <v>53.33</v>
      </c>
    </row>
    <row r="36" spans="1:3" ht="11.85" customHeight="1" x14ac:dyDescent="0.2">
      <c r="A36" s="111" t="s">
        <v>218</v>
      </c>
      <c r="B36" s="112">
        <v>16082.46</v>
      </c>
      <c r="C36" s="113"/>
    </row>
    <row r="37" spans="1:3" ht="11.85" customHeight="1" x14ac:dyDescent="0.2">
      <c r="A37" s="100" t="s">
        <v>48</v>
      </c>
      <c r="B37" s="101">
        <f>SUM(B8:B36)</f>
        <v>301724.56000000006</v>
      </c>
    </row>
    <row r="38" spans="1:3" ht="13.35" customHeight="1" x14ac:dyDescent="0.2"/>
    <row r="39" spans="1:3" s="97" customFormat="1" ht="12.95" customHeight="1" x14ac:dyDescent="0.2">
      <c r="A39" s="94" t="s">
        <v>49</v>
      </c>
      <c r="B39" s="94"/>
    </row>
    <row r="40" spans="1:3" ht="11.85" customHeight="1" x14ac:dyDescent="0.2">
      <c r="A40" s="102" t="s">
        <v>50</v>
      </c>
      <c r="B40" s="103">
        <v>3297.67</v>
      </c>
    </row>
    <row r="41" spans="1:3" ht="11.85" customHeight="1" x14ac:dyDescent="0.2">
      <c r="A41" s="98" t="s">
        <v>53</v>
      </c>
      <c r="B41" s="99">
        <v>-840</v>
      </c>
    </row>
    <row r="42" spans="1:3" ht="11.85" customHeight="1" x14ac:dyDescent="0.2">
      <c r="A42" s="98" t="s">
        <v>56</v>
      </c>
      <c r="B42" s="99">
        <v>565</v>
      </c>
    </row>
    <row r="43" spans="1:3" ht="11.85" customHeight="1" x14ac:dyDescent="0.2">
      <c r="A43" s="98" t="s">
        <v>59</v>
      </c>
      <c r="B43" s="99">
        <v>446.11</v>
      </c>
    </row>
    <row r="44" spans="1:3" ht="11.85" customHeight="1" x14ac:dyDescent="0.2">
      <c r="A44" s="98" t="s">
        <v>219</v>
      </c>
      <c r="B44" s="99">
        <v>-729.12</v>
      </c>
    </row>
    <row r="45" spans="1:3" ht="11.85" customHeight="1" x14ac:dyDescent="0.2">
      <c r="A45" s="98" t="s">
        <v>61</v>
      </c>
      <c r="B45" s="99">
        <v>550.08000000000004</v>
      </c>
    </row>
    <row r="46" spans="1:3" ht="11.85" customHeight="1" x14ac:dyDescent="0.2">
      <c r="A46" s="98" t="s">
        <v>63</v>
      </c>
      <c r="B46" s="99">
        <v>240</v>
      </c>
    </row>
    <row r="47" spans="1:3" ht="11.85" customHeight="1" x14ac:dyDescent="0.2">
      <c r="A47" s="98" t="s">
        <v>64</v>
      </c>
      <c r="B47" s="99">
        <v>500</v>
      </c>
    </row>
    <row r="48" spans="1:3" ht="11.85" customHeight="1" x14ac:dyDescent="0.2">
      <c r="A48" s="98" t="s">
        <v>65</v>
      </c>
      <c r="B48" s="99">
        <v>313.81</v>
      </c>
    </row>
    <row r="49" spans="1:3" ht="11.85" customHeight="1" x14ac:dyDescent="0.2">
      <c r="A49" s="98" t="s">
        <v>66</v>
      </c>
      <c r="B49" s="99">
        <v>88.8</v>
      </c>
    </row>
    <row r="50" spans="1:3" ht="11.85" customHeight="1" x14ac:dyDescent="0.2">
      <c r="A50" s="98" t="s">
        <v>220</v>
      </c>
      <c r="B50" s="99">
        <v>2525</v>
      </c>
    </row>
    <row r="51" spans="1:3" ht="11.85" customHeight="1" x14ac:dyDescent="0.2">
      <c r="A51" s="98" t="s">
        <v>72</v>
      </c>
      <c r="B51" s="99">
        <v>556.53</v>
      </c>
    </row>
    <row r="52" spans="1:3" ht="11.85" customHeight="1" x14ac:dyDescent="0.2">
      <c r="A52" s="98" t="s">
        <v>73</v>
      </c>
      <c r="B52" s="99">
        <v>6423.25</v>
      </c>
    </row>
    <row r="53" spans="1:3" ht="11.85" customHeight="1" x14ac:dyDescent="0.2">
      <c r="A53" s="111" t="s">
        <v>221</v>
      </c>
      <c r="B53" s="112">
        <v>1131.73</v>
      </c>
      <c r="C53" s="113"/>
    </row>
    <row r="54" spans="1:3" ht="11.85" customHeight="1" x14ac:dyDescent="0.2">
      <c r="A54" s="111" t="s">
        <v>222</v>
      </c>
      <c r="B54" s="112">
        <v>31000</v>
      </c>
      <c r="C54" s="113"/>
    </row>
    <row r="55" spans="1:3" ht="11.85" customHeight="1" x14ac:dyDescent="0.2">
      <c r="A55" s="111" t="s">
        <v>223</v>
      </c>
      <c r="B55" s="112">
        <v>2391.4299999999998</v>
      </c>
      <c r="C55" s="113"/>
    </row>
    <row r="56" spans="1:3" ht="11.85" customHeight="1" x14ac:dyDescent="0.2">
      <c r="A56" s="111" t="s">
        <v>224</v>
      </c>
      <c r="B56" s="112">
        <v>22511.1</v>
      </c>
      <c r="C56" s="113"/>
    </row>
    <row r="57" spans="1:3" ht="11.85" customHeight="1" x14ac:dyDescent="0.2">
      <c r="A57" s="111" t="s">
        <v>78</v>
      </c>
      <c r="B57" s="112">
        <v>300</v>
      </c>
      <c r="C57" s="113"/>
    </row>
    <row r="58" spans="1:3" ht="11.85" customHeight="1" x14ac:dyDescent="0.2">
      <c r="A58" s="98" t="s">
        <v>225</v>
      </c>
      <c r="B58" s="99">
        <v>19960.150000000001</v>
      </c>
    </row>
    <row r="59" spans="1:3" ht="11.85" customHeight="1" x14ac:dyDescent="0.2">
      <c r="A59" s="98" t="s">
        <v>82</v>
      </c>
      <c r="B59" s="99">
        <v>370.93</v>
      </c>
    </row>
    <row r="60" spans="1:3" ht="11.85" customHeight="1" x14ac:dyDescent="0.2">
      <c r="A60" s="98" t="s">
        <v>83</v>
      </c>
      <c r="B60" s="99">
        <v>10131.02</v>
      </c>
    </row>
    <row r="61" spans="1:3" ht="11.85" customHeight="1" x14ac:dyDescent="0.2">
      <c r="A61" s="98" t="s">
        <v>87</v>
      </c>
      <c r="B61" s="99">
        <v>7624.21</v>
      </c>
    </row>
    <row r="62" spans="1:3" ht="11.85" customHeight="1" x14ac:dyDescent="0.2">
      <c r="A62" s="98" t="s">
        <v>90</v>
      </c>
      <c r="B62" s="99">
        <v>294.75</v>
      </c>
    </row>
    <row r="63" spans="1:3" ht="11.85" customHeight="1" x14ac:dyDescent="0.2">
      <c r="A63" s="98" t="s">
        <v>93</v>
      </c>
      <c r="B63" s="99">
        <v>1500</v>
      </c>
    </row>
    <row r="64" spans="1:3" ht="11.85" customHeight="1" x14ac:dyDescent="0.2">
      <c r="A64" s="98" t="s">
        <v>94</v>
      </c>
      <c r="B64" s="99">
        <v>298.27</v>
      </c>
    </row>
    <row r="65" spans="1:3" ht="11.85" customHeight="1" x14ac:dyDescent="0.2">
      <c r="A65" s="111" t="s">
        <v>226</v>
      </c>
      <c r="B65" s="112">
        <v>24440.53</v>
      </c>
      <c r="C65" s="113"/>
    </row>
    <row r="66" spans="1:3" ht="11.85" customHeight="1" x14ac:dyDescent="0.2">
      <c r="A66" s="98" t="s">
        <v>95</v>
      </c>
      <c r="B66" s="99">
        <v>5122.1099999999997</v>
      </c>
    </row>
    <row r="67" spans="1:3" ht="11.85" customHeight="1" x14ac:dyDescent="0.2">
      <c r="A67" s="98" t="s">
        <v>96</v>
      </c>
      <c r="B67" s="99">
        <v>1000</v>
      </c>
    </row>
    <row r="68" spans="1:3" ht="11.85" customHeight="1" x14ac:dyDescent="0.2">
      <c r="A68" s="98" t="s">
        <v>97</v>
      </c>
      <c r="B68" s="99">
        <v>76.31</v>
      </c>
    </row>
    <row r="69" spans="1:3" ht="11.85" customHeight="1" x14ac:dyDescent="0.2">
      <c r="A69" s="100" t="s">
        <v>98</v>
      </c>
      <c r="B69" s="101">
        <f>SUM(B40:B68)</f>
        <v>142089.66999999998</v>
      </c>
    </row>
    <row r="70" spans="1:3" ht="13.35" customHeight="1" x14ac:dyDescent="0.2"/>
    <row r="71" spans="1:3" ht="11.85" customHeight="1" x14ac:dyDescent="0.2">
      <c r="A71" s="104" t="s">
        <v>99</v>
      </c>
      <c r="B71" s="105">
        <f>(B37 - B69)</f>
        <v>159634.89000000007</v>
      </c>
    </row>
    <row r="72" spans="1:3" ht="13.35" customHeight="1" x14ac:dyDescent="0.2"/>
    <row r="73" spans="1:3" s="97" customFormat="1" ht="12.95" customHeight="1" x14ac:dyDescent="0.2">
      <c r="A73" s="94" t="s">
        <v>100</v>
      </c>
      <c r="B73" s="94"/>
    </row>
    <row r="74" spans="1:3" ht="11.85" customHeight="1" x14ac:dyDescent="0.2">
      <c r="A74" s="102" t="s">
        <v>103</v>
      </c>
      <c r="B74" s="103">
        <v>2138.75</v>
      </c>
    </row>
    <row r="75" spans="1:3" ht="11.85" customHeight="1" x14ac:dyDescent="0.2">
      <c r="A75" s="98" t="s">
        <v>227</v>
      </c>
      <c r="B75" s="99">
        <v>22113.06</v>
      </c>
    </row>
    <row r="76" spans="1:3" ht="11.85" customHeight="1" x14ac:dyDescent="0.2">
      <c r="A76" s="98" t="s">
        <v>104</v>
      </c>
      <c r="B76" s="99">
        <v>101.68</v>
      </c>
    </row>
    <row r="77" spans="1:3" ht="11.85" customHeight="1" x14ac:dyDescent="0.2">
      <c r="A77" s="98" t="s">
        <v>105</v>
      </c>
      <c r="B77" s="99">
        <v>297.5</v>
      </c>
    </row>
    <row r="78" spans="1:3" ht="11.85" customHeight="1" x14ac:dyDescent="0.2">
      <c r="A78" s="98" t="s">
        <v>106</v>
      </c>
      <c r="B78" s="99">
        <v>494.01</v>
      </c>
    </row>
    <row r="79" spans="1:3" ht="11.85" customHeight="1" x14ac:dyDescent="0.2">
      <c r="A79" s="98" t="s">
        <v>107</v>
      </c>
      <c r="B79" s="99">
        <v>508.87</v>
      </c>
    </row>
    <row r="80" spans="1:3" ht="11.85" customHeight="1" x14ac:dyDescent="0.2">
      <c r="A80" s="98" t="s">
        <v>109</v>
      </c>
      <c r="B80" s="99">
        <v>7999.51</v>
      </c>
    </row>
    <row r="81" spans="1:2" ht="11.85" customHeight="1" x14ac:dyDescent="0.2">
      <c r="A81" s="98" t="s">
        <v>110</v>
      </c>
      <c r="B81" s="99">
        <v>1598.19</v>
      </c>
    </row>
    <row r="82" spans="1:2" ht="11.85" customHeight="1" x14ac:dyDescent="0.2">
      <c r="A82" s="98" t="s">
        <v>111</v>
      </c>
      <c r="B82" s="99">
        <v>152.05000000000001</v>
      </c>
    </row>
    <row r="83" spans="1:2" ht="11.85" customHeight="1" x14ac:dyDescent="0.2">
      <c r="A83" s="98" t="s">
        <v>114</v>
      </c>
      <c r="B83" s="99">
        <v>2108.2800000000002</v>
      </c>
    </row>
    <row r="84" spans="1:2" ht="11.85" customHeight="1" x14ac:dyDescent="0.2">
      <c r="A84" s="98" t="s">
        <v>228</v>
      </c>
      <c r="B84" s="99">
        <v>2593.25</v>
      </c>
    </row>
    <row r="85" spans="1:2" ht="11.85" customHeight="1" x14ac:dyDescent="0.2">
      <c r="A85" s="98" t="s">
        <v>115</v>
      </c>
      <c r="B85" s="99">
        <v>1030.5</v>
      </c>
    </row>
    <row r="86" spans="1:2" ht="11.85" customHeight="1" x14ac:dyDescent="0.2">
      <c r="A86" s="98" t="s">
        <v>117</v>
      </c>
      <c r="B86" s="99">
        <v>542.1</v>
      </c>
    </row>
    <row r="87" spans="1:2" ht="11.85" customHeight="1" x14ac:dyDescent="0.2">
      <c r="A87" s="100" t="s">
        <v>119</v>
      </c>
      <c r="B87" s="101">
        <f>SUM(B74:B86)</f>
        <v>41677.75</v>
      </c>
    </row>
    <row r="88" spans="1:2" ht="13.35" customHeight="1" x14ac:dyDescent="0.2"/>
    <row r="89" spans="1:2" ht="11.85" customHeight="1" x14ac:dyDescent="0.2">
      <c r="A89" s="104" t="s">
        <v>120</v>
      </c>
      <c r="B89" s="105">
        <f>((B71 + 0) - (0 + B87))</f>
        <v>117957.14000000007</v>
      </c>
    </row>
    <row r="90" spans="1:2" ht="13.35" customHeight="1" x14ac:dyDescent="0.2"/>
    <row r="91" spans="1:2" s="97" customFormat="1" ht="12.95" customHeight="1" x14ac:dyDescent="0.2">
      <c r="A91" s="94" t="s">
        <v>121</v>
      </c>
      <c r="B91" s="94"/>
    </row>
    <row r="92" spans="1:2" ht="11.85" customHeight="1" x14ac:dyDescent="0.2">
      <c r="A92" s="102" t="s">
        <v>122</v>
      </c>
      <c r="B92" s="103">
        <v>37</v>
      </c>
    </row>
    <row r="93" spans="1:2" ht="11.85" customHeight="1" x14ac:dyDescent="0.2">
      <c r="A93" s="98" t="s">
        <v>124</v>
      </c>
      <c r="B93" s="99">
        <v>35</v>
      </c>
    </row>
    <row r="94" spans="1:2" ht="11.85" customHeight="1" x14ac:dyDescent="0.2">
      <c r="A94" s="98" t="s">
        <v>125</v>
      </c>
      <c r="B94" s="99">
        <v>17.190000000000001</v>
      </c>
    </row>
    <row r="95" spans="1:2" ht="11.85" customHeight="1" x14ac:dyDescent="0.2">
      <c r="A95" s="98" t="s">
        <v>229</v>
      </c>
      <c r="B95" s="99">
        <v>21.95</v>
      </c>
    </row>
    <row r="96" spans="1:2" ht="11.85" customHeight="1" x14ac:dyDescent="0.2">
      <c r="A96" s="100" t="s">
        <v>129</v>
      </c>
      <c r="B96" s="101">
        <f>SUM(B92:B95)</f>
        <v>111.14</v>
      </c>
    </row>
    <row r="97" spans="1:2" ht="13.35" customHeight="1" x14ac:dyDescent="0.2"/>
    <row r="98" spans="1:2" ht="11.85" customHeight="1" x14ac:dyDescent="0.2">
      <c r="A98" s="104" t="s">
        <v>130</v>
      </c>
      <c r="B98" s="105">
        <f>(B89 + B96)</f>
        <v>118068.28000000007</v>
      </c>
    </row>
    <row r="99" spans="1:2" ht="13.35" customHeight="1" x14ac:dyDescent="0.2"/>
    <row r="100" spans="1:2" ht="11.85" customHeight="1" x14ac:dyDescent="0.2">
      <c r="A100" s="104" t="s">
        <v>131</v>
      </c>
      <c r="B100" s="105">
        <f>(B98 - 0)</f>
        <v>118068.28000000007</v>
      </c>
    </row>
  </sheetData>
  <pageMargins left="0.7" right="0.7" top="0.75" bottom="0.75" header="0.3" footer="0.3"/>
  <pageSetup paperSize="9" fitToWidth="0"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DX140"/>
  <sheetViews>
    <sheetView showGridLines="0" topLeftCell="A15" zoomScaleNormal="100" workbookViewId="0">
      <selection activeCell="B44" sqref="B42:B44"/>
    </sheetView>
  </sheetViews>
  <sheetFormatPr defaultRowHeight="12" x14ac:dyDescent="0.2"/>
  <cols>
    <col min="1" max="1" width="63.85546875" bestFit="1" customWidth="1"/>
    <col min="2" max="2" width="10" bestFit="1" customWidth="1"/>
  </cols>
  <sheetData>
    <row r="1" spans="1:128" s="1" customFormat="1" ht="18" customHeight="1" x14ac:dyDescent="0.25">
      <c r="A1" s="2" t="s">
        <v>0</v>
      </c>
      <c r="B1" s="2"/>
    </row>
    <row r="2" spans="1:128" s="3" customFormat="1" ht="15.6" customHeight="1" x14ac:dyDescent="0.2">
      <c r="A2" s="4" t="s">
        <v>1</v>
      </c>
      <c r="B2" s="4"/>
    </row>
    <row r="3" spans="1:128" s="3" customFormat="1" ht="15.6" customHeight="1" x14ac:dyDescent="0.2">
      <c r="A3" s="4" t="s">
        <v>2</v>
      </c>
      <c r="B3" s="4"/>
    </row>
    <row r="4" spans="1:128" ht="13.35" customHeight="1" x14ac:dyDescent="0.2"/>
    <row r="5" spans="1:128" s="5" customFormat="1" ht="12.95" customHeight="1" x14ac:dyDescent="0.2">
      <c r="A5" s="6" t="s">
        <v>3</v>
      </c>
      <c r="B5" s="7" t="s">
        <v>4</v>
      </c>
    </row>
    <row r="6" spans="1:128" ht="13.35" customHeight="1" x14ac:dyDescent="0.2"/>
    <row r="7" spans="1:128" s="5" customFormat="1" ht="12.95" customHeight="1" x14ac:dyDescent="0.2">
      <c r="A7" s="8" t="s">
        <v>5</v>
      </c>
      <c r="B7" s="8"/>
    </row>
    <row r="8" spans="1:128" s="31" customFormat="1" ht="11.85" customHeight="1" x14ac:dyDescent="0.2">
      <c r="A8" s="28" t="s">
        <v>6</v>
      </c>
      <c r="B8" s="29">
        <v>5067.63</v>
      </c>
      <c r="C8" s="30" t="s">
        <v>132</v>
      </c>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row>
    <row r="9" spans="1:128" s="27" customFormat="1" ht="11.85" customHeight="1" x14ac:dyDescent="0.2">
      <c r="A9" s="24" t="s">
        <v>7</v>
      </c>
      <c r="B9" s="25">
        <v>25032.880000000001</v>
      </c>
      <c r="C9" s="26" t="s">
        <v>133</v>
      </c>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row>
    <row r="10" spans="1:128" s="27" customFormat="1" ht="11.85" customHeight="1" x14ac:dyDescent="0.2">
      <c r="A10" s="24" t="s">
        <v>8</v>
      </c>
      <c r="B10" s="25">
        <v>64987.75</v>
      </c>
      <c r="C10" s="26" t="s">
        <v>133</v>
      </c>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row>
    <row r="11" spans="1:128" s="27" customFormat="1" ht="11.85" customHeight="1" x14ac:dyDescent="0.2">
      <c r="A11" s="24" t="s">
        <v>9</v>
      </c>
      <c r="B11" s="25">
        <v>1500</v>
      </c>
      <c r="C11" s="26" t="s">
        <v>133</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row>
    <row r="12" spans="1:128" s="27" customFormat="1" ht="11.85" customHeight="1" x14ac:dyDescent="0.2">
      <c r="A12" s="24" t="s">
        <v>10</v>
      </c>
      <c r="B12" s="25">
        <v>4948.68</v>
      </c>
      <c r="C12" s="26" t="s">
        <v>133</v>
      </c>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row>
    <row r="13" spans="1:128" s="27" customFormat="1" ht="11.85" customHeight="1" x14ac:dyDescent="0.2">
      <c r="A13" s="24" t="s">
        <v>11</v>
      </c>
      <c r="B13" s="25">
        <v>3476.69</v>
      </c>
      <c r="C13" s="26" t="s">
        <v>133</v>
      </c>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row>
    <row r="14" spans="1:128" s="27" customFormat="1" ht="11.85" customHeight="1" x14ac:dyDescent="0.2">
      <c r="A14" s="24" t="s">
        <v>12</v>
      </c>
      <c r="B14" s="25">
        <v>900.86</v>
      </c>
      <c r="C14" s="26" t="s">
        <v>133</v>
      </c>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row>
    <row r="15" spans="1:128" s="27" customFormat="1" ht="11.85" customHeight="1" x14ac:dyDescent="0.2">
      <c r="A15" s="24" t="s">
        <v>13</v>
      </c>
      <c r="B15" s="25">
        <v>979.18</v>
      </c>
      <c r="C15" s="26" t="s">
        <v>133</v>
      </c>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row>
    <row r="16" spans="1:128" s="27" customFormat="1" ht="11.85" customHeight="1" x14ac:dyDescent="0.2">
      <c r="A16" s="24" t="s">
        <v>14</v>
      </c>
      <c r="B16" s="25">
        <v>3020.34</v>
      </c>
      <c r="C16" s="26" t="s">
        <v>133</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row>
    <row r="17" spans="1:128" s="27" customFormat="1" ht="11.85" customHeight="1" x14ac:dyDescent="0.2">
      <c r="A17" s="24" t="s">
        <v>15</v>
      </c>
      <c r="B17" s="25">
        <v>3615.79</v>
      </c>
      <c r="C17" s="26" t="s">
        <v>133</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row>
    <row r="18" spans="1:128" s="27" customFormat="1" ht="11.85" customHeight="1" x14ac:dyDescent="0.2">
      <c r="A18" s="24" t="s">
        <v>16</v>
      </c>
      <c r="B18" s="25">
        <v>807.42</v>
      </c>
      <c r="C18" s="26" t="s">
        <v>133</v>
      </c>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row>
    <row r="19" spans="1:128" s="27" customFormat="1" ht="11.85" customHeight="1" x14ac:dyDescent="0.2">
      <c r="A19" s="24" t="s">
        <v>17</v>
      </c>
      <c r="B19" s="25">
        <v>558.30999999999995</v>
      </c>
      <c r="C19" s="26" t="s">
        <v>133</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row>
    <row r="20" spans="1:128" s="27" customFormat="1" ht="11.85" customHeight="1" x14ac:dyDescent="0.2">
      <c r="A20" s="24" t="s">
        <v>18</v>
      </c>
      <c r="B20" s="25">
        <v>75</v>
      </c>
      <c r="C20" s="26" t="s">
        <v>133</v>
      </c>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row>
    <row r="21" spans="1:128" s="27" customFormat="1" ht="11.85" customHeight="1" x14ac:dyDescent="0.2">
      <c r="A21" s="24" t="s">
        <v>19</v>
      </c>
      <c r="B21" s="25">
        <v>70</v>
      </c>
      <c r="C21" s="26" t="s">
        <v>133</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row>
    <row r="22" spans="1:128" s="27" customFormat="1" ht="11.85" customHeight="1" x14ac:dyDescent="0.2">
      <c r="A22" s="24" t="s">
        <v>20</v>
      </c>
      <c r="B22" s="25">
        <v>3175.08</v>
      </c>
      <c r="C22" s="26" t="s">
        <v>133</v>
      </c>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row>
    <row r="23" spans="1:128" s="37" customFormat="1" ht="11.85" customHeight="1" x14ac:dyDescent="0.2">
      <c r="A23" s="34" t="s">
        <v>21</v>
      </c>
      <c r="B23" s="35">
        <v>300</v>
      </c>
      <c r="C23" s="36" t="s">
        <v>134</v>
      </c>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row>
    <row r="24" spans="1:128" s="37" customFormat="1" ht="11.85" customHeight="1" x14ac:dyDescent="0.2">
      <c r="A24" s="34" t="s">
        <v>22</v>
      </c>
      <c r="B24" s="35">
        <v>20314.34</v>
      </c>
      <c r="C24" s="36" t="s">
        <v>134</v>
      </c>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row>
    <row r="25" spans="1:128" s="41" customFormat="1" ht="11.85" customHeight="1" x14ac:dyDescent="0.2">
      <c r="A25" s="38" t="s">
        <v>23</v>
      </c>
      <c r="B25" s="39">
        <v>37090.04</v>
      </c>
      <c r="C25" s="40" t="s">
        <v>135</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row>
    <row r="26" spans="1:128" s="41" customFormat="1" ht="11.85" customHeight="1" x14ac:dyDescent="0.2">
      <c r="A26" s="38" t="s">
        <v>24</v>
      </c>
      <c r="B26" s="39">
        <v>2040</v>
      </c>
      <c r="C26" s="40" t="s">
        <v>135</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row>
    <row r="27" spans="1:128" s="41" customFormat="1" ht="11.85" customHeight="1" x14ac:dyDescent="0.2">
      <c r="A27" s="38" t="s">
        <v>25</v>
      </c>
      <c r="B27" s="39">
        <v>0</v>
      </c>
      <c r="C27" s="40" t="s">
        <v>135</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row>
    <row r="28" spans="1:128" s="41" customFormat="1" ht="11.85" customHeight="1" x14ac:dyDescent="0.2">
      <c r="A28" s="38" t="s">
        <v>26</v>
      </c>
      <c r="B28" s="39">
        <v>1096.3499999999999</v>
      </c>
      <c r="C28" s="40" t="s">
        <v>135</v>
      </c>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row>
    <row r="29" spans="1:128" s="41" customFormat="1" ht="11.85" customHeight="1" x14ac:dyDescent="0.2">
      <c r="A29" s="38" t="s">
        <v>27</v>
      </c>
      <c r="B29" s="39">
        <v>9935</v>
      </c>
      <c r="C29" s="40" t="s">
        <v>135</v>
      </c>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row>
    <row r="30" spans="1:128" s="41" customFormat="1" ht="11.85" customHeight="1" x14ac:dyDescent="0.2">
      <c r="A30" s="38" t="s">
        <v>28</v>
      </c>
      <c r="B30" s="39">
        <v>7437.5</v>
      </c>
      <c r="C30" s="40" t="s">
        <v>135</v>
      </c>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row>
    <row r="31" spans="1:128" s="41" customFormat="1" ht="11.85" customHeight="1" x14ac:dyDescent="0.2">
      <c r="A31" s="38" t="s">
        <v>29</v>
      </c>
      <c r="B31" s="39">
        <v>258.33</v>
      </c>
      <c r="C31" s="40" t="s">
        <v>135</v>
      </c>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row>
    <row r="32" spans="1:128" s="41" customFormat="1" ht="11.85" customHeight="1" x14ac:dyDescent="0.2">
      <c r="A32" s="38" t="s">
        <v>30</v>
      </c>
      <c r="B32" s="39">
        <v>33.33</v>
      </c>
      <c r="C32" s="40" t="s">
        <v>135</v>
      </c>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row>
    <row r="33" spans="1:128" s="41" customFormat="1" ht="11.85" customHeight="1" x14ac:dyDescent="0.2">
      <c r="A33" s="38" t="s">
        <v>31</v>
      </c>
      <c r="B33" s="39">
        <v>108.32</v>
      </c>
      <c r="C33" s="40" t="s">
        <v>135</v>
      </c>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row>
    <row r="34" spans="1:128" s="41" customFormat="1" ht="11.85" customHeight="1" x14ac:dyDescent="0.2">
      <c r="A34" s="38" t="s">
        <v>32</v>
      </c>
      <c r="B34" s="39">
        <v>0</v>
      </c>
      <c r="C34" s="40" t="s">
        <v>135</v>
      </c>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row>
    <row r="35" spans="1:128" s="45" customFormat="1" ht="11.85" customHeight="1" x14ac:dyDescent="0.2">
      <c r="A35" s="42" t="s">
        <v>33</v>
      </c>
      <c r="B35" s="43">
        <v>3212</v>
      </c>
      <c r="C35" s="44" t="s">
        <v>136</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row>
    <row r="36" spans="1:128" s="31" customFormat="1" ht="11.85" customHeight="1" x14ac:dyDescent="0.2">
      <c r="A36" s="32" t="s">
        <v>34</v>
      </c>
      <c r="B36" s="33">
        <v>218253.32</v>
      </c>
      <c r="C36" s="30" t="s">
        <v>132</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row>
    <row r="37" spans="1:128" s="31" customFormat="1" ht="11.85" customHeight="1" x14ac:dyDescent="0.2">
      <c r="A37" s="32" t="s">
        <v>35</v>
      </c>
      <c r="B37" s="33">
        <v>1443.33</v>
      </c>
      <c r="C37" s="30" t="s">
        <v>132</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row>
    <row r="38" spans="1:128" s="31" customFormat="1" ht="11.85" customHeight="1" x14ac:dyDescent="0.2">
      <c r="A38" s="32" t="s">
        <v>36</v>
      </c>
      <c r="B38" s="33">
        <v>56</v>
      </c>
      <c r="C38" s="30" t="s">
        <v>132</v>
      </c>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row>
    <row r="39" spans="1:128" s="31" customFormat="1" ht="11.85" customHeight="1" x14ac:dyDescent="0.2">
      <c r="A39" s="32" t="s">
        <v>37</v>
      </c>
      <c r="B39" s="33">
        <v>1435.97</v>
      </c>
      <c r="C39" s="30" t="s">
        <v>132</v>
      </c>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row>
    <row r="40" spans="1:128" s="31" customFormat="1" ht="11.85" customHeight="1" x14ac:dyDescent="0.2">
      <c r="A40" s="32" t="s">
        <v>38</v>
      </c>
      <c r="B40" s="33">
        <v>662.92</v>
      </c>
      <c r="C40" s="30" t="s">
        <v>132</v>
      </c>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row>
    <row r="41" spans="1:128" s="31" customFormat="1" ht="11.85" customHeight="1" x14ac:dyDescent="0.2">
      <c r="A41" s="32" t="s">
        <v>39</v>
      </c>
      <c r="B41" s="33">
        <v>26</v>
      </c>
      <c r="C41" s="30" t="s">
        <v>132</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row>
    <row r="42" spans="1:128" s="31" customFormat="1" ht="11.85" customHeight="1" x14ac:dyDescent="0.2">
      <c r="A42" s="32" t="s">
        <v>40</v>
      </c>
      <c r="B42" s="33">
        <v>2685</v>
      </c>
      <c r="C42" s="30" t="s">
        <v>132</v>
      </c>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row>
    <row r="43" spans="1:128" s="31" customFormat="1" ht="11.85" customHeight="1" x14ac:dyDescent="0.2">
      <c r="A43" s="32" t="s">
        <v>41</v>
      </c>
      <c r="B43" s="33">
        <v>302.5</v>
      </c>
      <c r="C43" s="30" t="s">
        <v>132</v>
      </c>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row>
    <row r="44" spans="1:128" s="31" customFormat="1" ht="11.85" customHeight="1" x14ac:dyDescent="0.2">
      <c r="A44" s="32" t="s">
        <v>42</v>
      </c>
      <c r="B44" s="33">
        <v>1530</v>
      </c>
      <c r="C44" s="30" t="s">
        <v>132</v>
      </c>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row>
    <row r="45" spans="1:128" s="31" customFormat="1" ht="11.85" customHeight="1" x14ac:dyDescent="0.2">
      <c r="A45" s="32" t="s">
        <v>43</v>
      </c>
      <c r="B45" s="33">
        <v>8536.67</v>
      </c>
      <c r="C45" s="30" t="s">
        <v>132</v>
      </c>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row>
    <row r="46" spans="1:128" s="31" customFormat="1" ht="11.85" customHeight="1" x14ac:dyDescent="0.2">
      <c r="A46" s="32" t="s">
        <v>44</v>
      </c>
      <c r="B46" s="33">
        <v>4729.1899999999996</v>
      </c>
      <c r="C46" s="30" t="s">
        <v>132</v>
      </c>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row>
    <row r="47" spans="1:128" s="31" customFormat="1" ht="11.85" customHeight="1" x14ac:dyDescent="0.2">
      <c r="A47" s="32" t="s">
        <v>45</v>
      </c>
      <c r="B47" s="33">
        <v>180</v>
      </c>
      <c r="C47" s="30" t="s">
        <v>132</v>
      </c>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row>
    <row r="48" spans="1:128" s="31" customFormat="1" ht="11.85" customHeight="1" x14ac:dyDescent="0.2">
      <c r="A48" s="32" t="s">
        <v>46</v>
      </c>
      <c r="B48" s="33">
        <v>159.99</v>
      </c>
      <c r="C48" s="30" t="s">
        <v>132</v>
      </c>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row>
    <row r="49" spans="1:128" s="51" customFormat="1" ht="11.85" customHeight="1" x14ac:dyDescent="0.2">
      <c r="A49" s="48" t="s">
        <v>47</v>
      </c>
      <c r="B49" s="49">
        <v>900</v>
      </c>
      <c r="C49" s="50" t="s">
        <v>137</v>
      </c>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row>
    <row r="50" spans="1:128" ht="11.85" customHeight="1" x14ac:dyDescent="0.2">
      <c r="A50" s="9" t="s">
        <v>48</v>
      </c>
      <c r="B50" s="10">
        <f>SUM(B8:B49)</f>
        <v>440941.70999999996</v>
      </c>
    </row>
    <row r="51" spans="1:128" ht="13.35" customHeight="1" x14ac:dyDescent="0.2"/>
    <row r="52" spans="1:128" s="5" customFormat="1" ht="12.95" customHeight="1" x14ac:dyDescent="0.2">
      <c r="A52" s="8" t="s">
        <v>49</v>
      </c>
      <c r="B52" s="8"/>
    </row>
    <row r="53" spans="1:128" s="31" customFormat="1" ht="11.85" customHeight="1" x14ac:dyDescent="0.2">
      <c r="A53" s="28" t="s">
        <v>50</v>
      </c>
      <c r="B53" s="29">
        <v>10404.959999999999</v>
      </c>
      <c r="C53" s="30" t="s">
        <v>138</v>
      </c>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row>
    <row r="54" spans="1:128" s="27" customFormat="1" ht="11.85" customHeight="1" x14ac:dyDescent="0.2">
      <c r="A54" s="24" t="s">
        <v>51</v>
      </c>
      <c r="B54" s="25">
        <v>3975</v>
      </c>
      <c r="C54" s="26" t="s">
        <v>139</v>
      </c>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row>
    <row r="55" spans="1:128" s="27" customFormat="1" ht="11.85" customHeight="1" x14ac:dyDescent="0.2">
      <c r="A55" s="24" t="s">
        <v>52</v>
      </c>
      <c r="B55" s="25">
        <v>9613.02</v>
      </c>
      <c r="C55" s="26" t="s">
        <v>139</v>
      </c>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row>
    <row r="56" spans="1:128" s="27" customFormat="1" ht="11.85" customHeight="1" x14ac:dyDescent="0.2">
      <c r="A56" s="24" t="s">
        <v>53</v>
      </c>
      <c r="B56" s="25">
        <v>25339.439999999999</v>
      </c>
      <c r="C56" s="26" t="s">
        <v>139</v>
      </c>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row>
    <row r="57" spans="1:128" s="27" customFormat="1" ht="11.85" customHeight="1" x14ac:dyDescent="0.2">
      <c r="A57" s="24" t="s">
        <v>54</v>
      </c>
      <c r="B57" s="25">
        <v>1800</v>
      </c>
      <c r="C57" s="26" t="s">
        <v>139</v>
      </c>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row>
    <row r="58" spans="1:128" s="27" customFormat="1" ht="11.85" customHeight="1" x14ac:dyDescent="0.2">
      <c r="A58" s="24" t="s">
        <v>55</v>
      </c>
      <c r="B58" s="25">
        <v>575</v>
      </c>
      <c r="C58" s="26" t="s">
        <v>139</v>
      </c>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row>
    <row r="59" spans="1:128" s="27" customFormat="1" ht="11.85" customHeight="1" x14ac:dyDescent="0.2">
      <c r="A59" s="24" t="s">
        <v>56</v>
      </c>
      <c r="B59" s="25">
        <v>30965.57</v>
      </c>
      <c r="C59" s="26" t="s">
        <v>139</v>
      </c>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row>
    <row r="60" spans="1:128" s="27" customFormat="1" ht="11.85" customHeight="1" x14ac:dyDescent="0.2">
      <c r="A60" s="24" t="s">
        <v>57</v>
      </c>
      <c r="B60" s="25">
        <v>1096.48</v>
      </c>
      <c r="C60" s="26" t="s">
        <v>139</v>
      </c>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row>
    <row r="61" spans="1:128" s="27" customFormat="1" ht="11.85" customHeight="1" x14ac:dyDescent="0.2">
      <c r="A61" s="24" t="s">
        <v>58</v>
      </c>
      <c r="B61" s="25">
        <v>24191.45</v>
      </c>
      <c r="C61" s="26" t="s">
        <v>139</v>
      </c>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row>
    <row r="62" spans="1:128" s="27" customFormat="1" ht="11.85" customHeight="1" x14ac:dyDescent="0.2">
      <c r="A62" s="24" t="s">
        <v>59</v>
      </c>
      <c r="B62" s="25">
        <v>3939.85</v>
      </c>
      <c r="C62" s="26" t="s">
        <v>139</v>
      </c>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row>
    <row r="63" spans="1:128" s="27" customFormat="1" ht="11.85" customHeight="1" x14ac:dyDescent="0.2">
      <c r="A63" s="24" t="s">
        <v>60</v>
      </c>
      <c r="B63" s="25">
        <v>200</v>
      </c>
      <c r="C63" s="26" t="s">
        <v>139</v>
      </c>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row>
    <row r="64" spans="1:128" s="45" customFormat="1" ht="11.85" customHeight="1" x14ac:dyDescent="0.2">
      <c r="A64" s="42" t="s">
        <v>61</v>
      </c>
      <c r="B64" s="43">
        <v>673.54</v>
      </c>
      <c r="C64" s="44" t="s">
        <v>136</v>
      </c>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row>
    <row r="65" spans="1:128" s="27" customFormat="1" ht="11.85" customHeight="1" x14ac:dyDescent="0.2">
      <c r="A65" s="24" t="s">
        <v>62</v>
      </c>
      <c r="B65" s="25">
        <v>8524.1299999999992</v>
      </c>
      <c r="C65" s="26" t="s">
        <v>139</v>
      </c>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row>
    <row r="66" spans="1:128" s="27" customFormat="1" ht="11.85" customHeight="1" x14ac:dyDescent="0.2">
      <c r="A66" s="24" t="s">
        <v>63</v>
      </c>
      <c r="B66" s="25">
        <v>1626.24</v>
      </c>
      <c r="C66" s="26" t="s">
        <v>139</v>
      </c>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row>
    <row r="67" spans="1:128" s="27" customFormat="1" ht="11.85" customHeight="1" x14ac:dyDescent="0.2">
      <c r="A67" s="24" t="s">
        <v>64</v>
      </c>
      <c r="B67" s="25">
        <v>9770.67</v>
      </c>
      <c r="C67" s="26" t="s">
        <v>139</v>
      </c>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row>
    <row r="68" spans="1:128" s="27" customFormat="1" ht="11.85" customHeight="1" x14ac:dyDescent="0.2">
      <c r="A68" s="24" t="s">
        <v>65</v>
      </c>
      <c r="B68" s="25">
        <v>1324.64</v>
      </c>
      <c r="C68" s="26" t="s">
        <v>139</v>
      </c>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row>
    <row r="69" spans="1:128" s="27" customFormat="1" ht="11.85" customHeight="1" x14ac:dyDescent="0.2">
      <c r="A69" s="24" t="s">
        <v>66</v>
      </c>
      <c r="B69" s="25">
        <v>1406.75</v>
      </c>
      <c r="C69" s="26" t="s">
        <v>139</v>
      </c>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row>
    <row r="70" spans="1:128" s="27" customFormat="1" ht="11.85" customHeight="1" x14ac:dyDescent="0.2">
      <c r="A70" s="24" t="s">
        <v>67</v>
      </c>
      <c r="B70" s="25">
        <v>14238.32</v>
      </c>
      <c r="C70" s="26" t="s">
        <v>139</v>
      </c>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row>
    <row r="71" spans="1:128" s="27" customFormat="1" ht="11.85" customHeight="1" x14ac:dyDescent="0.2">
      <c r="A71" s="24" t="s">
        <v>68</v>
      </c>
      <c r="B71" s="25">
        <v>6029.03</v>
      </c>
      <c r="C71" s="26" t="s">
        <v>139</v>
      </c>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row>
    <row r="72" spans="1:128" s="27" customFormat="1" ht="11.85" customHeight="1" x14ac:dyDescent="0.2">
      <c r="A72" s="24" t="s">
        <v>69</v>
      </c>
      <c r="B72" s="25">
        <v>749.3</v>
      </c>
      <c r="C72" s="26" t="s">
        <v>139</v>
      </c>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row>
    <row r="73" spans="1:128" s="27" customFormat="1" ht="11.85" customHeight="1" x14ac:dyDescent="0.2">
      <c r="A73" s="24" t="s">
        <v>70</v>
      </c>
      <c r="B73" s="25">
        <v>726.74</v>
      </c>
      <c r="C73" s="26" t="s">
        <v>139</v>
      </c>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row>
    <row r="74" spans="1:128" s="27" customFormat="1" ht="11.85" customHeight="1" x14ac:dyDescent="0.2">
      <c r="A74" s="24" t="s">
        <v>71</v>
      </c>
      <c r="B74" s="25">
        <v>726.73</v>
      </c>
      <c r="C74" s="26" t="s">
        <v>139</v>
      </c>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row>
    <row r="75" spans="1:128" s="27" customFormat="1" ht="11.85" customHeight="1" x14ac:dyDescent="0.2">
      <c r="A75" s="24" t="s">
        <v>72</v>
      </c>
      <c r="B75" s="25">
        <v>5138.88</v>
      </c>
      <c r="C75" s="26" t="s">
        <v>139</v>
      </c>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row>
    <row r="76" spans="1:128" s="27" customFormat="1" ht="11.85" customHeight="1" x14ac:dyDescent="0.2">
      <c r="A76" s="24" t="s">
        <v>73</v>
      </c>
      <c r="B76" s="25">
        <v>10031.49</v>
      </c>
      <c r="C76" s="26" t="s">
        <v>139</v>
      </c>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row>
    <row r="77" spans="1:128" s="37" customFormat="1" ht="11.85" customHeight="1" x14ac:dyDescent="0.2">
      <c r="A77" s="34" t="s">
        <v>74</v>
      </c>
      <c r="B77" s="35">
        <v>29745.42</v>
      </c>
      <c r="C77" s="36" t="s">
        <v>134</v>
      </c>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row>
    <row r="78" spans="1:128" s="37" customFormat="1" ht="11.85" customHeight="1" x14ac:dyDescent="0.2">
      <c r="A78" s="34" t="s">
        <v>75</v>
      </c>
      <c r="B78" s="35">
        <v>2847.35</v>
      </c>
      <c r="C78" s="36" t="s">
        <v>134</v>
      </c>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row>
    <row r="79" spans="1:128" s="37" customFormat="1" ht="11.85" customHeight="1" x14ac:dyDescent="0.2">
      <c r="A79" s="34" t="s">
        <v>76</v>
      </c>
      <c r="B79" s="35">
        <v>1744.79</v>
      </c>
      <c r="C79" s="36" t="s">
        <v>134</v>
      </c>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row>
    <row r="80" spans="1:128" s="37" customFormat="1" ht="11.85" customHeight="1" x14ac:dyDescent="0.2">
      <c r="A80" s="34" t="s">
        <v>77</v>
      </c>
      <c r="B80" s="35">
        <v>836.25</v>
      </c>
      <c r="C80" s="36" t="s">
        <v>134</v>
      </c>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row>
    <row r="81" spans="1:128" s="37" customFormat="1" ht="11.85" customHeight="1" x14ac:dyDescent="0.2">
      <c r="A81" s="34" t="s">
        <v>78</v>
      </c>
      <c r="B81" s="35">
        <v>4986.16</v>
      </c>
      <c r="C81" s="36" t="s">
        <v>134</v>
      </c>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row>
    <row r="82" spans="1:128" s="41" customFormat="1" ht="11.85" customHeight="1" x14ac:dyDescent="0.2">
      <c r="A82" s="38" t="s">
        <v>79</v>
      </c>
      <c r="B82" s="39">
        <v>160</v>
      </c>
      <c r="C82" s="40" t="s">
        <v>135</v>
      </c>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row>
    <row r="83" spans="1:128" s="41" customFormat="1" ht="11.85" customHeight="1" x14ac:dyDescent="0.2">
      <c r="A83" s="38" t="s">
        <v>80</v>
      </c>
      <c r="B83" s="39">
        <v>10404.56</v>
      </c>
      <c r="C83" s="40" t="s">
        <v>135</v>
      </c>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row>
    <row r="84" spans="1:128" s="41" customFormat="1" ht="11.85" customHeight="1" x14ac:dyDescent="0.2">
      <c r="A84" s="38" t="s">
        <v>81</v>
      </c>
      <c r="B84" s="39">
        <v>2591.21</v>
      </c>
      <c r="C84" s="40" t="s">
        <v>135</v>
      </c>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row>
    <row r="85" spans="1:128" s="41" customFormat="1" ht="11.85" customHeight="1" x14ac:dyDescent="0.2">
      <c r="A85" s="38" t="s">
        <v>82</v>
      </c>
      <c r="B85" s="39">
        <v>5508.51</v>
      </c>
      <c r="C85" s="40" t="s">
        <v>135</v>
      </c>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row>
    <row r="86" spans="1:128" s="41" customFormat="1" ht="11.85" customHeight="1" x14ac:dyDescent="0.2">
      <c r="A86" s="38" t="s">
        <v>83</v>
      </c>
      <c r="B86" s="39">
        <v>659.91</v>
      </c>
      <c r="C86" s="40" t="s">
        <v>135</v>
      </c>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row>
    <row r="87" spans="1:128" s="41" customFormat="1" ht="11.85" customHeight="1" x14ac:dyDescent="0.2">
      <c r="A87" s="38" t="s">
        <v>84</v>
      </c>
      <c r="B87" s="39">
        <v>17.350000000000001</v>
      </c>
      <c r="C87" s="40" t="s">
        <v>135</v>
      </c>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row>
    <row r="88" spans="1:128" s="41" customFormat="1" ht="11.85" customHeight="1" x14ac:dyDescent="0.2">
      <c r="A88" s="38" t="s">
        <v>85</v>
      </c>
      <c r="B88" s="39">
        <v>9074.98</v>
      </c>
      <c r="C88" s="40" t="s">
        <v>135</v>
      </c>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row>
    <row r="89" spans="1:128" s="41" customFormat="1" ht="11.85" customHeight="1" x14ac:dyDescent="0.2">
      <c r="A89" s="38" t="s">
        <v>86</v>
      </c>
      <c r="B89" s="39">
        <v>18669.060000000001</v>
      </c>
      <c r="C89" s="40" t="s">
        <v>135</v>
      </c>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row>
    <row r="90" spans="1:128" s="41" customFormat="1" ht="11.85" customHeight="1" x14ac:dyDescent="0.2">
      <c r="A90" s="38" t="s">
        <v>87</v>
      </c>
      <c r="B90" s="39">
        <v>962.5</v>
      </c>
      <c r="C90" s="40" t="s">
        <v>135</v>
      </c>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row>
    <row r="91" spans="1:128" s="41" customFormat="1" ht="11.85" customHeight="1" x14ac:dyDescent="0.2">
      <c r="A91" s="38" t="s">
        <v>88</v>
      </c>
      <c r="B91" s="39">
        <v>0</v>
      </c>
      <c r="C91" s="40" t="s">
        <v>135</v>
      </c>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row>
    <row r="92" spans="1:128" s="41" customFormat="1" ht="11.85" customHeight="1" x14ac:dyDescent="0.2">
      <c r="A92" s="38" t="s">
        <v>89</v>
      </c>
      <c r="B92" s="39">
        <v>3236.16</v>
      </c>
      <c r="C92" s="40" t="s">
        <v>135</v>
      </c>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row>
    <row r="93" spans="1:128" s="45" customFormat="1" ht="11.85" customHeight="1" x14ac:dyDescent="0.2">
      <c r="A93" s="42" t="s">
        <v>90</v>
      </c>
      <c r="B93" s="43">
        <v>2265</v>
      </c>
      <c r="C93" s="44" t="s">
        <v>136</v>
      </c>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row>
    <row r="94" spans="1:128" s="31" customFormat="1" ht="11.85" customHeight="1" x14ac:dyDescent="0.2">
      <c r="A94" s="32" t="s">
        <v>91</v>
      </c>
      <c r="B94" s="33">
        <v>3075.56</v>
      </c>
      <c r="C94" s="30" t="s">
        <v>138</v>
      </c>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row>
    <row r="95" spans="1:128" s="31" customFormat="1" ht="11.85" customHeight="1" x14ac:dyDescent="0.2">
      <c r="A95" s="32" t="s">
        <v>92</v>
      </c>
      <c r="B95" s="33">
        <v>2477.11</v>
      </c>
      <c r="C95" s="30" t="s">
        <v>138</v>
      </c>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row>
    <row r="96" spans="1:128" s="31" customFormat="1" ht="11.85" customHeight="1" x14ac:dyDescent="0.2">
      <c r="A96" s="32" t="s">
        <v>93</v>
      </c>
      <c r="B96" s="33">
        <v>5500</v>
      </c>
      <c r="C96" s="30" t="s">
        <v>138</v>
      </c>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row>
    <row r="97" spans="1:128" s="45" customFormat="1" ht="11.85" customHeight="1" x14ac:dyDescent="0.2">
      <c r="A97" s="42" t="s">
        <v>94</v>
      </c>
      <c r="B97" s="43">
        <v>1803.46</v>
      </c>
      <c r="C97" s="44" t="s">
        <v>136</v>
      </c>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row>
    <row r="98" spans="1:128" s="76" customFormat="1" ht="11.85" customHeight="1" x14ac:dyDescent="0.2">
      <c r="A98" s="73" t="s">
        <v>95</v>
      </c>
      <c r="B98" s="74">
        <v>16816.89</v>
      </c>
      <c r="C98" s="75" t="s">
        <v>138</v>
      </c>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row>
    <row r="99" spans="1:128" s="51" customFormat="1" ht="11.85" customHeight="1" x14ac:dyDescent="0.2">
      <c r="A99" s="48" t="s">
        <v>96</v>
      </c>
      <c r="B99" s="49">
        <v>4126.03</v>
      </c>
      <c r="C99" s="50" t="s">
        <v>137</v>
      </c>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row>
    <row r="100" spans="1:128" s="51" customFormat="1" ht="11.85" customHeight="1" x14ac:dyDescent="0.2">
      <c r="A100" s="48" t="s">
        <v>97</v>
      </c>
      <c r="B100" s="49">
        <v>4900</v>
      </c>
      <c r="C100" s="50" t="s">
        <v>137</v>
      </c>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row>
    <row r="101" spans="1:128" ht="11.85" customHeight="1" x14ac:dyDescent="0.2">
      <c r="A101" s="9" t="s">
        <v>98</v>
      </c>
      <c r="B101" s="10">
        <f>SUM(B53:B100)</f>
        <v>305475.49000000011</v>
      </c>
    </row>
    <row r="102" spans="1:128" ht="13.35" customHeight="1" x14ac:dyDescent="0.2"/>
    <row r="103" spans="1:128" ht="11.85" customHeight="1" x14ac:dyDescent="0.2">
      <c r="A103" s="11" t="s">
        <v>99</v>
      </c>
      <c r="B103" s="12">
        <f>(B50 - B101)</f>
        <v>135466.21999999986</v>
      </c>
    </row>
    <row r="104" spans="1:128" ht="13.35" customHeight="1" x14ac:dyDescent="0.2"/>
    <row r="105" spans="1:128" s="5" customFormat="1" ht="12.95" customHeight="1" x14ac:dyDescent="0.2">
      <c r="A105" s="8" t="s">
        <v>100</v>
      </c>
      <c r="B105" s="8"/>
    </row>
    <row r="106" spans="1:128" s="45" customFormat="1" ht="11.85" customHeight="1" x14ac:dyDescent="0.2">
      <c r="A106" s="46" t="s">
        <v>101</v>
      </c>
      <c r="B106" s="47">
        <v>0</v>
      </c>
      <c r="C106" s="44" t="s">
        <v>136</v>
      </c>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row>
    <row r="107" spans="1:128" s="45" customFormat="1" ht="11.85" customHeight="1" x14ac:dyDescent="0.2">
      <c r="A107" s="42" t="s">
        <v>102</v>
      </c>
      <c r="B107" s="43">
        <v>4263</v>
      </c>
      <c r="C107" s="44" t="s">
        <v>136</v>
      </c>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row>
    <row r="108" spans="1:128" s="45" customFormat="1" ht="11.85" customHeight="1" x14ac:dyDescent="0.2">
      <c r="A108" s="42" t="s">
        <v>103</v>
      </c>
      <c r="B108" s="43">
        <v>9010.3799999999992</v>
      </c>
      <c r="C108" s="44" t="s">
        <v>136</v>
      </c>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row>
    <row r="109" spans="1:128" s="45" customFormat="1" ht="11.85" customHeight="1" x14ac:dyDescent="0.2">
      <c r="A109" s="42" t="s">
        <v>104</v>
      </c>
      <c r="B109" s="43">
        <v>1465.64</v>
      </c>
      <c r="C109" s="44" t="s">
        <v>136</v>
      </c>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row>
    <row r="110" spans="1:128" s="45" customFormat="1" ht="11.85" customHeight="1" x14ac:dyDescent="0.2">
      <c r="A110" s="42" t="s">
        <v>105</v>
      </c>
      <c r="B110" s="43">
        <v>834.95</v>
      </c>
      <c r="C110" s="44" t="s">
        <v>136</v>
      </c>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row>
    <row r="111" spans="1:128" s="45" customFormat="1" ht="11.85" customHeight="1" x14ac:dyDescent="0.2">
      <c r="A111" s="42" t="s">
        <v>106</v>
      </c>
      <c r="B111" s="43">
        <v>3670.64</v>
      </c>
      <c r="C111" s="44" t="s">
        <v>136</v>
      </c>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row>
    <row r="112" spans="1:128" s="45" customFormat="1" ht="11.85" customHeight="1" x14ac:dyDescent="0.2">
      <c r="A112" s="42" t="s">
        <v>107</v>
      </c>
      <c r="B112" s="43">
        <v>11151.63</v>
      </c>
      <c r="C112" s="44" t="s">
        <v>136</v>
      </c>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row>
    <row r="113" spans="1:128" s="45" customFormat="1" ht="11.85" customHeight="1" x14ac:dyDescent="0.2">
      <c r="A113" s="42" t="s">
        <v>108</v>
      </c>
      <c r="B113" s="43">
        <v>58.36</v>
      </c>
      <c r="C113" s="44" t="s">
        <v>136</v>
      </c>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row>
    <row r="114" spans="1:128" s="45" customFormat="1" ht="11.85" customHeight="1" x14ac:dyDescent="0.2">
      <c r="A114" s="42" t="s">
        <v>109</v>
      </c>
      <c r="B114" s="43">
        <v>8333.33</v>
      </c>
      <c r="C114" s="44" t="s">
        <v>136</v>
      </c>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row>
    <row r="115" spans="1:128" s="45" customFormat="1" ht="11.85" customHeight="1" x14ac:dyDescent="0.2">
      <c r="A115" s="42" t="s">
        <v>110</v>
      </c>
      <c r="B115" s="43">
        <v>9301.1</v>
      </c>
      <c r="C115" s="44" t="s">
        <v>136</v>
      </c>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row>
    <row r="116" spans="1:128" s="45" customFormat="1" ht="11.85" customHeight="1" x14ac:dyDescent="0.2">
      <c r="A116" s="42" t="s">
        <v>111</v>
      </c>
      <c r="B116" s="43">
        <v>1795.62</v>
      </c>
      <c r="C116" s="44" t="s">
        <v>136</v>
      </c>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row>
    <row r="117" spans="1:128" s="45" customFormat="1" ht="11.85" customHeight="1" x14ac:dyDescent="0.2">
      <c r="A117" s="42" t="s">
        <v>112</v>
      </c>
      <c r="B117" s="43">
        <v>7.49</v>
      </c>
      <c r="C117" s="44" t="s">
        <v>136</v>
      </c>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row>
    <row r="118" spans="1:128" s="45" customFormat="1" ht="11.85" customHeight="1" x14ac:dyDescent="0.2">
      <c r="A118" s="42" t="s">
        <v>113</v>
      </c>
      <c r="B118" s="43">
        <v>96</v>
      </c>
      <c r="C118" s="44" t="s">
        <v>136</v>
      </c>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row>
    <row r="119" spans="1:128" s="45" customFormat="1" ht="11.85" customHeight="1" x14ac:dyDescent="0.2">
      <c r="A119" s="42" t="s">
        <v>114</v>
      </c>
      <c r="B119" s="43">
        <f>9805.96+3432</f>
        <v>13237.96</v>
      </c>
      <c r="C119" s="44" t="s">
        <v>136</v>
      </c>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row>
    <row r="120" spans="1:128" s="45" customFormat="1" ht="11.85" customHeight="1" x14ac:dyDescent="0.2">
      <c r="A120" s="42" t="s">
        <v>115</v>
      </c>
      <c r="B120" s="43">
        <v>4122</v>
      </c>
      <c r="C120" s="44" t="s">
        <v>136</v>
      </c>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row>
    <row r="121" spans="1:128" s="45" customFormat="1" ht="11.85" customHeight="1" x14ac:dyDescent="0.2">
      <c r="A121" s="42" t="s">
        <v>116</v>
      </c>
      <c r="B121" s="43">
        <v>74068.83</v>
      </c>
      <c r="C121" s="44" t="s">
        <v>136</v>
      </c>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row>
    <row r="122" spans="1:128" s="45" customFormat="1" ht="11.85" customHeight="1" x14ac:dyDescent="0.2">
      <c r="A122" s="42" t="s">
        <v>117</v>
      </c>
      <c r="B122" s="43">
        <v>2131.98</v>
      </c>
      <c r="C122" s="44" t="s">
        <v>136</v>
      </c>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row>
    <row r="123" spans="1:128" s="45" customFormat="1" ht="11.85" customHeight="1" x14ac:dyDescent="0.2">
      <c r="A123" s="42" t="s">
        <v>118</v>
      </c>
      <c r="B123" s="43">
        <v>2442.6999999999998</v>
      </c>
      <c r="C123" s="44" t="s">
        <v>136</v>
      </c>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row>
    <row r="124" spans="1:128" ht="11.85" customHeight="1" x14ac:dyDescent="0.2">
      <c r="A124" s="9" t="s">
        <v>119</v>
      </c>
      <c r="B124" s="10">
        <f>SUM(B106:B123)</f>
        <v>145991.61000000002</v>
      </c>
    </row>
    <row r="125" spans="1:128" ht="13.35" customHeight="1" x14ac:dyDescent="0.2"/>
    <row r="126" spans="1:128" ht="11.85" customHeight="1" x14ac:dyDescent="0.2">
      <c r="A126" s="11" t="s">
        <v>120</v>
      </c>
      <c r="B126" s="12">
        <f>((B103 + 0) - (0 + B124))</f>
        <v>-10525.390000000159</v>
      </c>
    </row>
    <row r="127" spans="1:128" ht="13.35" customHeight="1" x14ac:dyDescent="0.2"/>
    <row r="128" spans="1:128" s="5" customFormat="1" ht="12.95" customHeight="1" x14ac:dyDescent="0.2">
      <c r="A128" s="8" t="s">
        <v>121</v>
      </c>
      <c r="B128" s="8"/>
    </row>
    <row r="129" spans="1:128" s="45" customFormat="1" ht="11.85" customHeight="1" x14ac:dyDescent="0.2">
      <c r="A129" s="46" t="s">
        <v>122</v>
      </c>
      <c r="B129" s="47">
        <v>12549.43</v>
      </c>
      <c r="C129" s="44" t="s">
        <v>136</v>
      </c>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row>
    <row r="130" spans="1:128" s="45" customFormat="1" ht="11.85" customHeight="1" x14ac:dyDescent="0.2">
      <c r="A130" s="42" t="s">
        <v>123</v>
      </c>
      <c r="B130" s="43">
        <v>250</v>
      </c>
      <c r="C130" s="44" t="s">
        <v>136</v>
      </c>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row>
    <row r="131" spans="1:128" s="27" customFormat="1" ht="11.85" customHeight="1" x14ac:dyDescent="0.2">
      <c r="A131" s="24" t="s">
        <v>124</v>
      </c>
      <c r="B131" s="25">
        <v>179.2</v>
      </c>
      <c r="C131" s="26" t="s">
        <v>139</v>
      </c>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row>
    <row r="132" spans="1:128" s="45" customFormat="1" ht="11.85" customHeight="1" x14ac:dyDescent="0.2">
      <c r="A132" s="42" t="s">
        <v>125</v>
      </c>
      <c r="B132" s="43">
        <v>343.34</v>
      </c>
      <c r="C132" s="44" t="s">
        <v>136</v>
      </c>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row>
    <row r="133" spans="1:128" s="45" customFormat="1" ht="11.85" customHeight="1" x14ac:dyDescent="0.2">
      <c r="A133" s="42" t="s">
        <v>126</v>
      </c>
      <c r="B133" s="43">
        <v>41.67</v>
      </c>
      <c r="C133" s="44" t="s">
        <v>136</v>
      </c>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row>
    <row r="134" spans="1:128" s="45" customFormat="1" ht="11.85" customHeight="1" x14ac:dyDescent="0.2">
      <c r="A134" s="42" t="s">
        <v>127</v>
      </c>
      <c r="B134" s="43">
        <v>-10137.299999999999</v>
      </c>
      <c r="C134" s="44" t="s">
        <v>136</v>
      </c>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row>
    <row r="135" spans="1:128" s="45" customFormat="1" ht="11.85" customHeight="1" x14ac:dyDescent="0.2">
      <c r="A135" s="42" t="s">
        <v>128</v>
      </c>
      <c r="B135" s="43">
        <v>95.43</v>
      </c>
      <c r="C135" s="44" t="s">
        <v>136</v>
      </c>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row>
    <row r="136" spans="1:128" ht="11.85" customHeight="1" x14ac:dyDescent="0.2">
      <c r="A136" s="9" t="s">
        <v>129</v>
      </c>
      <c r="B136" s="10">
        <f>SUM(B129:B135)</f>
        <v>3321.7700000000018</v>
      </c>
    </row>
    <row r="137" spans="1:128" ht="13.35" customHeight="1" x14ac:dyDescent="0.2"/>
    <row r="138" spans="1:128" ht="11.85" customHeight="1" x14ac:dyDescent="0.2">
      <c r="A138" s="11" t="s">
        <v>130</v>
      </c>
      <c r="B138" s="12">
        <f>(B126 + B136)</f>
        <v>-7203.6200000001572</v>
      </c>
    </row>
    <row r="139" spans="1:128" ht="13.35" customHeight="1" x14ac:dyDescent="0.2"/>
    <row r="140" spans="1:128" ht="11.85" customHeight="1" x14ac:dyDescent="0.2">
      <c r="A140" s="11" t="s">
        <v>131</v>
      </c>
      <c r="B140" s="12">
        <f>(B138 - 0)</f>
        <v>-7203.6200000001572</v>
      </c>
    </row>
  </sheetData>
  <pageMargins left="0.7" right="0.7" top="0.75" bottom="0.75" header="0.3" footer="0.3"/>
  <pageSetup paperSize="9" fitToWidth="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675B-A2C9-47E6-B032-A34F93EFC1BA}">
  <sheetPr codeName="Sheet14"/>
  <dimension ref="A2:I50"/>
  <sheetViews>
    <sheetView workbookViewId="0">
      <selection activeCell="A2" sqref="A2:A16"/>
    </sheetView>
  </sheetViews>
  <sheetFormatPr defaultRowHeight="12" x14ac:dyDescent="0.2"/>
  <cols>
    <col min="1" max="1" width="27" customWidth="1"/>
    <col min="2" max="7" width="11" bestFit="1" customWidth="1"/>
  </cols>
  <sheetData>
    <row r="2" spans="1:1" x14ac:dyDescent="0.2">
      <c r="A2" s="18" t="s">
        <v>252</v>
      </c>
    </row>
    <row r="4" spans="1:1" x14ac:dyDescent="0.2">
      <c r="A4" s="13" t="s">
        <v>253</v>
      </c>
    </row>
    <row r="5" spans="1:1" x14ac:dyDescent="0.2">
      <c r="A5" s="13" t="s">
        <v>254</v>
      </c>
    </row>
    <row r="6" spans="1:1" x14ac:dyDescent="0.2">
      <c r="A6" s="13"/>
    </row>
    <row r="8" spans="1:1" x14ac:dyDescent="0.2">
      <c r="A8" s="18" t="s">
        <v>273</v>
      </c>
    </row>
    <row r="10" spans="1:1" x14ac:dyDescent="0.2">
      <c r="A10" s="13" t="s">
        <v>343</v>
      </c>
    </row>
    <row r="12" spans="1:1" x14ac:dyDescent="0.2">
      <c r="A12" s="13" t="s">
        <v>344</v>
      </c>
    </row>
    <row r="14" spans="1:1" x14ac:dyDescent="0.2">
      <c r="A14" s="13" t="s">
        <v>345</v>
      </c>
    </row>
    <row r="16" spans="1:1" x14ac:dyDescent="0.2">
      <c r="A16" s="13" t="s">
        <v>384</v>
      </c>
    </row>
    <row r="17" spans="1:9" x14ac:dyDescent="0.2">
      <c r="B17" s="13"/>
    </row>
    <row r="20" spans="1:9" x14ac:dyDescent="0.2">
      <c r="A20" t="s">
        <v>373</v>
      </c>
    </row>
    <row r="22" spans="1:9" x14ac:dyDescent="0.2">
      <c r="D22" t="s">
        <v>368</v>
      </c>
      <c r="E22" t="s">
        <v>368</v>
      </c>
      <c r="F22" t="s">
        <v>368</v>
      </c>
      <c r="G22" t="s">
        <v>368</v>
      </c>
    </row>
    <row r="23" spans="1:9" x14ac:dyDescent="0.2">
      <c r="B23" t="s">
        <v>365</v>
      </c>
      <c r="C23" t="s">
        <v>366</v>
      </c>
      <c r="D23" t="s">
        <v>367</v>
      </c>
      <c r="E23" t="s">
        <v>369</v>
      </c>
      <c r="F23">
        <v>2026</v>
      </c>
      <c r="G23">
        <v>2027</v>
      </c>
    </row>
    <row r="24" spans="1:9" x14ac:dyDescent="0.2">
      <c r="A24" t="s">
        <v>370</v>
      </c>
      <c r="B24" s="147">
        <v>12266</v>
      </c>
      <c r="C24" s="147">
        <v>14159</v>
      </c>
      <c r="D24" s="147">
        <f>C24*(1+D25)</f>
        <v>14866.95</v>
      </c>
      <c r="E24" s="147">
        <f t="shared" ref="E24:G24" si="0">D24*(1+E25)</f>
        <v>15312.958500000001</v>
      </c>
      <c r="F24" s="147">
        <f t="shared" si="0"/>
        <v>15619.217670000002</v>
      </c>
      <c r="G24" s="147">
        <f t="shared" si="0"/>
        <v>15931.602023400003</v>
      </c>
      <c r="I24" t="s">
        <v>378</v>
      </c>
    </row>
    <row r="25" spans="1:9" x14ac:dyDescent="0.2">
      <c r="B25" s="148"/>
      <c r="C25" s="148">
        <f>(C24/B24)-1</f>
        <v>0.15432903962171851</v>
      </c>
      <c r="D25" s="148">
        <v>0.05</v>
      </c>
      <c r="E25" s="148">
        <v>0.03</v>
      </c>
      <c r="F25" s="148">
        <v>0.02</v>
      </c>
      <c r="G25" s="148">
        <v>0.02</v>
      </c>
    </row>
    <row r="26" spans="1:9" x14ac:dyDescent="0.2">
      <c r="A26" t="s">
        <v>375</v>
      </c>
      <c r="B26" s="146">
        <v>18.46</v>
      </c>
      <c r="C26" s="146">
        <v>18.899999999999999</v>
      </c>
      <c r="D26" s="146">
        <v>18.899999999999999</v>
      </c>
      <c r="E26" s="146">
        <v>18.899999999999999</v>
      </c>
      <c r="F26" s="146">
        <v>18.899999999999999</v>
      </c>
      <c r="G26" s="146">
        <v>18.899999999999999</v>
      </c>
    </row>
    <row r="27" spans="1:9" x14ac:dyDescent="0.2">
      <c r="A27" t="s">
        <v>376</v>
      </c>
      <c r="B27" s="146">
        <f>B26*0.95</f>
        <v>17.536999999999999</v>
      </c>
      <c r="C27" s="146">
        <f t="shared" ref="C27:G27" si="1">C26*0.95</f>
        <v>17.954999999999998</v>
      </c>
      <c r="D27" s="146">
        <f t="shared" si="1"/>
        <v>17.954999999999998</v>
      </c>
      <c r="E27" s="146">
        <f t="shared" si="1"/>
        <v>17.954999999999998</v>
      </c>
      <c r="F27" s="146">
        <f t="shared" si="1"/>
        <v>17.954999999999998</v>
      </c>
      <c r="G27" s="146">
        <f t="shared" si="1"/>
        <v>17.954999999999998</v>
      </c>
    </row>
    <row r="28" spans="1:9" x14ac:dyDescent="0.2">
      <c r="A28" t="s">
        <v>377</v>
      </c>
      <c r="B28" s="146">
        <f>B27</f>
        <v>17.536999999999999</v>
      </c>
      <c r="C28" s="146">
        <f t="shared" ref="C28" si="2">C27</f>
        <v>17.954999999999998</v>
      </c>
      <c r="D28" s="149">
        <v>18.579999999999998</v>
      </c>
      <c r="E28" s="146">
        <f>E27*1.07</f>
        <v>19.211849999999998</v>
      </c>
      <c r="F28" s="146">
        <f t="shared" ref="F28:G28" si="3">F27*1.07</f>
        <v>19.211849999999998</v>
      </c>
      <c r="G28" s="146">
        <f t="shared" si="3"/>
        <v>19.211849999999998</v>
      </c>
    </row>
    <row r="29" spans="1:9" x14ac:dyDescent="0.2">
      <c r="A29" t="s">
        <v>371</v>
      </c>
      <c r="B29" s="147">
        <f>B24*B28</f>
        <v>215108.84199999998</v>
      </c>
      <c r="C29" s="147">
        <f t="shared" ref="C29:G29" si="4">C24*C28</f>
        <v>254224.84499999997</v>
      </c>
      <c r="D29" s="147">
        <f t="shared" si="4"/>
        <v>276227.93099999998</v>
      </c>
      <c r="E29" s="147">
        <f t="shared" si="4"/>
        <v>294190.26175822498</v>
      </c>
      <c r="F29" s="147">
        <f t="shared" si="4"/>
        <v>300074.06699338951</v>
      </c>
      <c r="G29" s="147">
        <f t="shared" si="4"/>
        <v>306075.54833325732</v>
      </c>
    </row>
    <row r="30" spans="1:9" x14ac:dyDescent="0.2">
      <c r="A30" t="s">
        <v>372</v>
      </c>
      <c r="B30" s="147"/>
      <c r="C30" s="147">
        <f>B29</f>
        <v>215108.84199999998</v>
      </c>
      <c r="D30" s="147">
        <f t="shared" ref="D30:G30" si="5">C29</f>
        <v>254224.84499999997</v>
      </c>
      <c r="E30" s="147">
        <f t="shared" si="5"/>
        <v>276227.93099999998</v>
      </c>
      <c r="F30" s="147">
        <f t="shared" si="5"/>
        <v>294190.26175822498</v>
      </c>
      <c r="G30" s="147">
        <f t="shared" si="5"/>
        <v>300074.06699338951</v>
      </c>
    </row>
    <row r="31" spans="1:9" x14ac:dyDescent="0.2">
      <c r="A31" t="s">
        <v>374</v>
      </c>
      <c r="B31" s="147">
        <v>211291</v>
      </c>
      <c r="C31" s="147">
        <v>218253</v>
      </c>
      <c r="D31" s="147">
        <v>255000</v>
      </c>
      <c r="E31" s="147">
        <v>275000</v>
      </c>
      <c r="F31" s="147">
        <v>295000</v>
      </c>
      <c r="G31" s="147">
        <v>300000</v>
      </c>
    </row>
    <row r="32" spans="1:9" hidden="1" x14ac:dyDescent="0.2">
      <c r="C32">
        <f>50%*B29+50%*C29</f>
        <v>234666.84349999996</v>
      </c>
      <c r="D32">
        <f t="shared" ref="D32:G32" si="6">50%*C29+50%*D29</f>
        <v>265226.38799999998</v>
      </c>
      <c r="E32">
        <f t="shared" si="6"/>
        <v>285209.09637911245</v>
      </c>
      <c r="F32">
        <f t="shared" si="6"/>
        <v>297132.16437580728</v>
      </c>
      <c r="G32">
        <f t="shared" si="6"/>
        <v>303074.80766332342</v>
      </c>
    </row>
    <row r="33" spans="1:7" x14ac:dyDescent="0.2">
      <c r="A33" t="s">
        <v>381</v>
      </c>
      <c r="B33" s="146">
        <f>B31/B24</f>
        <v>17.225745964454589</v>
      </c>
      <c r="C33" s="146">
        <f>C31/C24</f>
        <v>15.414436047743484</v>
      </c>
      <c r="D33" s="146">
        <f t="shared" ref="D33:G33" si="7">D31/D24</f>
        <v>17.152139477162429</v>
      </c>
      <c r="E33" s="146">
        <f t="shared" si="7"/>
        <v>17.958645940299519</v>
      </c>
      <c r="F33" s="146">
        <f t="shared" si="7"/>
        <v>18.886989491580596</v>
      </c>
      <c r="G33" s="146">
        <f t="shared" si="7"/>
        <v>18.83049799758783</v>
      </c>
    </row>
    <row r="34" spans="1:7" x14ac:dyDescent="0.2">
      <c r="B34" s="146"/>
      <c r="C34" s="146"/>
      <c r="D34" s="146"/>
      <c r="E34" s="146"/>
      <c r="F34" s="146"/>
      <c r="G34" s="146"/>
    </row>
    <row r="35" spans="1:7" x14ac:dyDescent="0.2">
      <c r="A35" t="s">
        <v>382</v>
      </c>
      <c r="B35" s="146"/>
      <c r="C35" s="147">
        <f>C31-C30</f>
        <v>3144.1580000000249</v>
      </c>
      <c r="D35" s="147">
        <f t="shared" ref="D35:G35" si="8">D31-D30</f>
        <v>775.15500000002794</v>
      </c>
      <c r="E35" s="147">
        <f t="shared" si="8"/>
        <v>-1227.9309999999823</v>
      </c>
      <c r="F35" s="147">
        <f t="shared" si="8"/>
        <v>809.73824177501956</v>
      </c>
      <c r="G35" s="147">
        <f t="shared" si="8"/>
        <v>-74.066993389511481</v>
      </c>
    </row>
    <row r="36" spans="1:7" ht="13.5" customHeight="1" x14ac:dyDescent="0.2"/>
    <row r="37" spans="1:7" x14ac:dyDescent="0.2">
      <c r="A37" t="s">
        <v>380</v>
      </c>
    </row>
    <row r="38" spans="1:7" x14ac:dyDescent="0.2">
      <c r="A38" s="150" t="s">
        <v>383</v>
      </c>
    </row>
    <row r="40" spans="1:7" x14ac:dyDescent="0.2">
      <c r="A40" t="s">
        <v>379</v>
      </c>
    </row>
    <row r="42" spans="1:7" x14ac:dyDescent="0.2">
      <c r="D42" t="s">
        <v>368</v>
      </c>
      <c r="E42" t="s">
        <v>368</v>
      </c>
      <c r="F42" t="s">
        <v>368</v>
      </c>
      <c r="G42" t="s">
        <v>368</v>
      </c>
    </row>
    <row r="43" spans="1:7" x14ac:dyDescent="0.2">
      <c r="B43" t="s">
        <v>365</v>
      </c>
      <c r="C43" t="s">
        <v>366</v>
      </c>
      <c r="D43" t="s">
        <v>367</v>
      </c>
      <c r="E43" t="s">
        <v>369</v>
      </c>
      <c r="F43">
        <v>2026</v>
      </c>
      <c r="G43">
        <v>2027</v>
      </c>
    </row>
    <row r="44" spans="1:7" x14ac:dyDescent="0.2">
      <c r="A44" t="s">
        <v>370</v>
      </c>
      <c r="B44" s="147">
        <v>12266</v>
      </c>
      <c r="C44" s="147">
        <v>14159</v>
      </c>
      <c r="D44" s="147">
        <f>C44*1.13</f>
        <v>15999.669999999998</v>
      </c>
      <c r="E44" s="147">
        <f t="shared" ref="E44:G44" si="9">D44*1.13</f>
        <v>18079.627099999998</v>
      </c>
      <c r="F44" s="147">
        <f t="shared" si="9"/>
        <v>20429.978622999995</v>
      </c>
      <c r="G44" s="147">
        <f t="shared" si="9"/>
        <v>23085.875843989994</v>
      </c>
    </row>
    <row r="45" spans="1:7" x14ac:dyDescent="0.2">
      <c r="A45" t="s">
        <v>375</v>
      </c>
      <c r="B45" s="146">
        <v>18.46</v>
      </c>
      <c r="C45" s="146">
        <v>18.899999999999999</v>
      </c>
      <c r="D45" s="146">
        <v>18.899999999999999</v>
      </c>
      <c r="E45" s="146">
        <v>18.899999999999999</v>
      </c>
      <c r="F45" s="146">
        <v>18.899999999999999</v>
      </c>
      <c r="G45" s="146">
        <v>18.899999999999999</v>
      </c>
    </row>
    <row r="46" spans="1:7" x14ac:dyDescent="0.2">
      <c r="A46" t="s">
        <v>376</v>
      </c>
      <c r="B46" s="146">
        <f>B45*0.95</f>
        <v>17.536999999999999</v>
      </c>
      <c r="C46" s="146">
        <f t="shared" ref="C46:G46" si="10">C45*0.95</f>
        <v>17.954999999999998</v>
      </c>
      <c r="D46" s="146">
        <f t="shared" si="10"/>
        <v>17.954999999999998</v>
      </c>
      <c r="E46" s="146">
        <f t="shared" si="10"/>
        <v>17.954999999999998</v>
      </c>
      <c r="F46" s="146">
        <f t="shared" si="10"/>
        <v>17.954999999999998</v>
      </c>
      <c r="G46" s="146">
        <f t="shared" si="10"/>
        <v>17.954999999999998</v>
      </c>
    </row>
    <row r="47" spans="1:7" x14ac:dyDescent="0.2">
      <c r="A47" t="s">
        <v>377</v>
      </c>
      <c r="B47" s="146">
        <f>B46</f>
        <v>17.536999999999999</v>
      </c>
      <c r="C47" s="146">
        <f t="shared" ref="C47" si="11">C46</f>
        <v>17.954999999999998</v>
      </c>
      <c r="D47" s="149">
        <v>18.579999999999998</v>
      </c>
      <c r="E47" s="146">
        <f>E46*1.07</f>
        <v>19.211849999999998</v>
      </c>
      <c r="F47" s="146">
        <f t="shared" ref="F47:G47" si="12">F46*1.07</f>
        <v>19.211849999999998</v>
      </c>
      <c r="G47" s="146">
        <f t="shared" si="12"/>
        <v>19.211849999999998</v>
      </c>
    </row>
    <row r="48" spans="1:7" x14ac:dyDescent="0.2">
      <c r="A48" t="s">
        <v>371</v>
      </c>
      <c r="B48" s="147">
        <f>B44*B47</f>
        <v>215108.84199999998</v>
      </c>
      <c r="C48" s="147">
        <f t="shared" ref="C48" si="13">C44*C47</f>
        <v>254224.84499999997</v>
      </c>
      <c r="D48" s="147">
        <f t="shared" ref="D48" si="14">D44*D47</f>
        <v>297273.86859999993</v>
      </c>
      <c r="E48" s="147">
        <f t="shared" ref="E48" si="15">E44*E47</f>
        <v>347343.0839011349</v>
      </c>
      <c r="F48" s="147">
        <f t="shared" ref="F48" si="16">F44*F47</f>
        <v>392497.68480828241</v>
      </c>
      <c r="G48" s="147">
        <f t="shared" ref="G48" si="17">G44*G47</f>
        <v>443522.38383335911</v>
      </c>
    </row>
    <row r="49" spans="1:7" x14ac:dyDescent="0.2">
      <c r="A49" t="s">
        <v>372</v>
      </c>
      <c r="B49" s="147"/>
      <c r="C49" s="147">
        <f>B48</f>
        <v>215108.84199999998</v>
      </c>
      <c r="D49" s="147">
        <f t="shared" ref="D49:G49" si="18">C48</f>
        <v>254224.84499999997</v>
      </c>
      <c r="E49" s="147">
        <f t="shared" si="18"/>
        <v>297273.86859999993</v>
      </c>
      <c r="F49" s="147">
        <f t="shared" si="18"/>
        <v>347343.0839011349</v>
      </c>
      <c r="G49" s="147">
        <f t="shared" si="18"/>
        <v>392497.68480828241</v>
      </c>
    </row>
    <row r="50" spans="1:7" x14ac:dyDescent="0.2">
      <c r="A50" t="s">
        <v>374</v>
      </c>
      <c r="B50" s="147"/>
      <c r="C50" s="147">
        <v>218253</v>
      </c>
      <c r="D50" s="147">
        <v>255000</v>
      </c>
      <c r="E50" s="147">
        <v>300000</v>
      </c>
      <c r="F50" s="147">
        <v>350000</v>
      </c>
      <c r="G50" s="147">
        <v>390000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59C46-C26D-43E9-B208-1D9956B6A0F1}">
  <sheetPr>
    <tabColor rgb="FFFFC000"/>
  </sheetPr>
  <dimension ref="A1:T75"/>
  <sheetViews>
    <sheetView topLeftCell="A9" zoomScale="110" zoomScaleNormal="110" workbookViewId="0">
      <selection activeCell="M66" sqref="M66"/>
    </sheetView>
  </sheetViews>
  <sheetFormatPr defaultRowHeight="12" x14ac:dyDescent="0.2"/>
  <cols>
    <col min="1" max="1" width="28.28515625" customWidth="1"/>
    <col min="2" max="2" width="10.7109375" customWidth="1"/>
    <col min="5" max="5" width="10" bestFit="1" customWidth="1"/>
  </cols>
  <sheetData>
    <row r="1" spans="1:15" ht="19.5" x14ac:dyDescent="0.4">
      <c r="A1" s="106" t="s">
        <v>417</v>
      </c>
    </row>
    <row r="3" spans="1:15" x14ac:dyDescent="0.2">
      <c r="B3" t="s">
        <v>385</v>
      </c>
      <c r="C3" t="s">
        <v>365</v>
      </c>
      <c r="D3" t="s">
        <v>366</v>
      </c>
      <c r="E3" t="s">
        <v>367</v>
      </c>
      <c r="F3" t="s">
        <v>369</v>
      </c>
      <c r="G3" t="s">
        <v>386</v>
      </c>
      <c r="H3" t="s">
        <v>387</v>
      </c>
    </row>
    <row r="4" spans="1:15" x14ac:dyDescent="0.2">
      <c r="A4" s="152"/>
    </row>
    <row r="5" spans="1:15" x14ac:dyDescent="0.2">
      <c r="A5" s="152" t="s">
        <v>388</v>
      </c>
      <c r="B5" s="17">
        <v>7000</v>
      </c>
      <c r="C5" s="17">
        <f>B6</f>
        <v>8928.4519466853744</v>
      </c>
      <c r="D5" s="17">
        <f>C6</f>
        <v>12266</v>
      </c>
      <c r="E5" s="17">
        <f t="shared" ref="E5:H5" si="0">D6</f>
        <v>14159</v>
      </c>
      <c r="F5" s="17">
        <f t="shared" si="0"/>
        <v>15574.900000000001</v>
      </c>
      <c r="G5" s="17">
        <f t="shared" si="0"/>
        <v>15886.398000000001</v>
      </c>
      <c r="H5" s="17">
        <f t="shared" si="0"/>
        <v>16204.125960000001</v>
      </c>
      <c r="I5" s="17"/>
      <c r="J5" s="17"/>
    </row>
    <row r="6" spans="1:15" x14ac:dyDescent="0.2">
      <c r="A6" s="152" t="s">
        <v>389</v>
      </c>
      <c r="B6" s="172">
        <f>8301*12266/11404</f>
        <v>8928.4519466853744</v>
      </c>
      <c r="C6" s="173">
        <v>12266</v>
      </c>
      <c r="D6" s="173">
        <v>14159</v>
      </c>
      <c r="E6" s="17">
        <f>D6*(1+E9)</f>
        <v>15574.900000000001</v>
      </c>
      <c r="F6" s="17">
        <f t="shared" ref="F6:H6" si="1">E6*(1+F9)</f>
        <v>15886.398000000001</v>
      </c>
      <c r="G6" s="17">
        <f t="shared" si="1"/>
        <v>16204.125960000001</v>
      </c>
      <c r="H6" s="17">
        <f t="shared" si="1"/>
        <v>16528.208479200002</v>
      </c>
      <c r="I6" s="17"/>
      <c r="J6" s="17"/>
    </row>
    <row r="7" spans="1:15" x14ac:dyDescent="0.2">
      <c r="A7" s="153" t="s">
        <v>393</v>
      </c>
      <c r="B7" s="17">
        <f t="shared" ref="B7:G7" si="2">(B6+B5)/2</f>
        <v>7964.2259733426872</v>
      </c>
      <c r="C7" s="17">
        <f t="shared" si="2"/>
        <v>10597.225973342687</v>
      </c>
      <c r="D7" s="17">
        <f t="shared" si="2"/>
        <v>13212.5</v>
      </c>
      <c r="E7" s="17">
        <f t="shared" si="2"/>
        <v>14866.95</v>
      </c>
      <c r="F7" s="17">
        <f t="shared" si="2"/>
        <v>15730.649000000001</v>
      </c>
      <c r="G7" s="17">
        <f t="shared" si="2"/>
        <v>16045.261980000001</v>
      </c>
      <c r="H7" s="17">
        <f>(H6+H5)/2</f>
        <v>16366.167219600002</v>
      </c>
      <c r="I7" s="17"/>
      <c r="J7" s="17"/>
    </row>
    <row r="8" spans="1:15" x14ac:dyDescent="0.2">
      <c r="A8" s="152"/>
    </row>
    <row r="9" spans="1:15" x14ac:dyDescent="0.2">
      <c r="A9" s="152" t="s">
        <v>390</v>
      </c>
      <c r="B9" s="151"/>
      <c r="C9" s="151">
        <f>(C6/B6)-1</f>
        <v>0.37381038429104918</v>
      </c>
      <c r="D9" s="151">
        <f>(D6/C6)-1</f>
        <v>0.15432903962171851</v>
      </c>
      <c r="E9" s="151">
        <v>0.1</v>
      </c>
      <c r="F9" s="151">
        <v>0.02</v>
      </c>
      <c r="G9" s="151">
        <v>0.02</v>
      </c>
      <c r="H9" s="151">
        <v>0.02</v>
      </c>
      <c r="I9" s="151"/>
      <c r="J9" s="151"/>
    </row>
    <row r="10" spans="1:15" x14ac:dyDescent="0.2">
      <c r="A10" s="152"/>
    </row>
    <row r="11" spans="1:15" ht="24" x14ac:dyDescent="0.2">
      <c r="A11" s="153" t="s">
        <v>391</v>
      </c>
      <c r="B11">
        <v>18</v>
      </c>
      <c r="C11">
        <v>18</v>
      </c>
      <c r="D11">
        <v>18</v>
      </c>
      <c r="E11">
        <v>18</v>
      </c>
      <c r="F11">
        <v>18</v>
      </c>
      <c r="G11">
        <v>18</v>
      </c>
      <c r="H11">
        <v>18</v>
      </c>
      <c r="N11" s="13" t="s">
        <v>392</v>
      </c>
      <c r="O11" s="13"/>
    </row>
    <row r="12" spans="1:15" x14ac:dyDescent="0.2">
      <c r="A12" s="152"/>
    </row>
    <row r="13" spans="1:15" s="17" customFormat="1" x14ac:dyDescent="0.2">
      <c r="A13" s="154" t="s">
        <v>358</v>
      </c>
      <c r="B13" s="17">
        <f>B11*B7</f>
        <v>143356.06752016838</v>
      </c>
      <c r="C13" s="17">
        <f>C11*C7</f>
        <v>190750.06752016838</v>
      </c>
      <c r="D13" s="17">
        <f t="shared" ref="D13:H13" si="3">D11*D7</f>
        <v>237825</v>
      </c>
      <c r="E13" s="17">
        <f t="shared" si="3"/>
        <v>267605.10000000003</v>
      </c>
      <c r="F13" s="17">
        <f t="shared" si="3"/>
        <v>283151.68200000003</v>
      </c>
      <c r="G13" s="17">
        <f t="shared" si="3"/>
        <v>288814.71564000001</v>
      </c>
      <c r="H13" s="17">
        <f t="shared" si="3"/>
        <v>294591.00995280006</v>
      </c>
    </row>
    <row r="14" spans="1:15" s="17" customFormat="1" x14ac:dyDescent="0.2">
      <c r="A14" s="154"/>
    </row>
    <row r="15" spans="1:15" s="17" customFormat="1" ht="26.25" customHeight="1" x14ac:dyDescent="0.2">
      <c r="A15" s="155" t="s">
        <v>394</v>
      </c>
      <c r="C15" s="17">
        <f>0.5*C13+0.5*B13</f>
        <v>167053.06752016838</v>
      </c>
      <c r="D15" s="17">
        <f>0.5*D13+0.5*C13</f>
        <v>214287.53376008419</v>
      </c>
      <c r="E15" s="17">
        <f t="shared" ref="E15:H15" si="4">0.5*E13+0.5*D13</f>
        <v>252715.05000000002</v>
      </c>
      <c r="F15" s="17">
        <f t="shared" si="4"/>
        <v>275378.39100000006</v>
      </c>
      <c r="G15" s="17">
        <f t="shared" si="4"/>
        <v>285983.19882000005</v>
      </c>
      <c r="H15" s="17">
        <f t="shared" si="4"/>
        <v>291702.86279640003</v>
      </c>
      <c r="N15" s="16" t="s">
        <v>435</v>
      </c>
      <c r="O15" s="16"/>
    </row>
    <row r="16" spans="1:15" s="17" customFormat="1" x14ac:dyDescent="0.2"/>
    <row r="17" spans="1:15" s="17" customFormat="1" x14ac:dyDescent="0.2">
      <c r="A17" s="16" t="s">
        <v>395</v>
      </c>
      <c r="C17" s="16">
        <f>211291</f>
        <v>211291</v>
      </c>
      <c r="D17" s="17">
        <f>218253</f>
        <v>218253</v>
      </c>
      <c r="E17" s="17">
        <v>255000</v>
      </c>
      <c r="F17" s="17">
        <v>291000</v>
      </c>
      <c r="G17" s="17">
        <v>290000</v>
      </c>
      <c r="H17" s="17">
        <v>300000</v>
      </c>
      <c r="N17" s="16" t="s">
        <v>436</v>
      </c>
      <c r="O17" s="16"/>
    </row>
    <row r="18" spans="1:15" s="17" customFormat="1" x14ac:dyDescent="0.2">
      <c r="A18" s="16"/>
    </row>
    <row r="19" spans="1:15" s="17" customFormat="1" x14ac:dyDescent="0.2">
      <c r="A19" s="16" t="s">
        <v>413</v>
      </c>
      <c r="C19" s="17">
        <f>C17-C15</f>
        <v>44237.932479831623</v>
      </c>
      <c r="D19" s="17">
        <f t="shared" ref="D19:H19" si="5">D17-D15</f>
        <v>3965.4662399158115</v>
      </c>
      <c r="E19" s="17">
        <f t="shared" si="5"/>
        <v>2284.9499999999825</v>
      </c>
      <c r="F19" s="17">
        <f t="shared" si="5"/>
        <v>15621.608999999939</v>
      </c>
      <c r="G19" s="17">
        <f t="shared" si="5"/>
        <v>4016.8011799999513</v>
      </c>
      <c r="H19" s="17">
        <f t="shared" si="5"/>
        <v>8297.1372035999666</v>
      </c>
      <c r="N19" s="16" t="s">
        <v>437</v>
      </c>
      <c r="O19" s="16"/>
    </row>
    <row r="20" spans="1:15" s="17" customFormat="1" x14ac:dyDescent="0.2"/>
    <row r="21" spans="1:15" s="17" customFormat="1" x14ac:dyDescent="0.2">
      <c r="A21" s="16" t="s">
        <v>414</v>
      </c>
    </row>
    <row r="22" spans="1:15" s="17" customFormat="1" x14ac:dyDescent="0.2">
      <c r="A22" s="16"/>
    </row>
    <row r="23" spans="1:15" s="17" customFormat="1" x14ac:dyDescent="0.2">
      <c r="A23" s="19" t="s">
        <v>433</v>
      </c>
    </row>
    <row r="24" spans="1:15" s="17" customFormat="1" x14ac:dyDescent="0.2">
      <c r="A24" s="16"/>
    </row>
    <row r="25" spans="1:15" s="17" customFormat="1" ht="24" x14ac:dyDescent="0.2">
      <c r="A25" s="153" t="s">
        <v>391</v>
      </c>
      <c r="B25">
        <v>18</v>
      </c>
      <c r="C25">
        <v>18</v>
      </c>
      <c r="D25">
        <v>18</v>
      </c>
      <c r="E25">
        <v>18</v>
      </c>
      <c r="F25">
        <f>E25*1.08</f>
        <v>19.440000000000001</v>
      </c>
      <c r="G25">
        <f>F25</f>
        <v>19.440000000000001</v>
      </c>
      <c r="H25">
        <f>G25</f>
        <v>19.440000000000001</v>
      </c>
      <c r="I25"/>
      <c r="J25"/>
      <c r="N25" s="16" t="s">
        <v>438</v>
      </c>
      <c r="O25" s="16"/>
    </row>
    <row r="26" spans="1:15" s="17" customFormat="1" x14ac:dyDescent="0.2">
      <c r="A26" s="152"/>
      <c r="B26"/>
      <c r="C26"/>
      <c r="D26"/>
      <c r="E26"/>
      <c r="F26"/>
      <c r="G26" t="s">
        <v>460</v>
      </c>
      <c r="H26"/>
      <c r="I26"/>
      <c r="J26"/>
    </row>
    <row r="27" spans="1:15" s="17" customFormat="1" x14ac:dyDescent="0.2">
      <c r="A27" s="154" t="s">
        <v>358</v>
      </c>
      <c r="B27" s="17">
        <f>B25*B7</f>
        <v>143356.06752016838</v>
      </c>
      <c r="C27" s="17">
        <f t="shared" ref="C27:H27" si="6">C25*C7</f>
        <v>190750.06752016838</v>
      </c>
      <c r="D27" s="17">
        <f t="shared" si="6"/>
        <v>237825</v>
      </c>
      <c r="E27" s="17">
        <f t="shared" si="6"/>
        <v>267605.10000000003</v>
      </c>
      <c r="F27" s="17">
        <f t="shared" si="6"/>
        <v>305803.81656000006</v>
      </c>
      <c r="G27" s="17">
        <f t="shared" si="6"/>
        <v>311919.89289120003</v>
      </c>
      <c r="H27" s="17">
        <f t="shared" si="6"/>
        <v>318158.29074902408</v>
      </c>
    </row>
    <row r="28" spans="1:15" s="17" customFormat="1" x14ac:dyDescent="0.2">
      <c r="A28" s="154"/>
    </row>
    <row r="29" spans="1:15" s="17" customFormat="1" ht="24" x14ac:dyDescent="0.2">
      <c r="A29" s="155" t="s">
        <v>394</v>
      </c>
      <c r="C29" s="17">
        <f>0.5*C27+0.5*B27</f>
        <v>167053.06752016838</v>
      </c>
      <c r="D29" s="17">
        <f>0.5*D27+0.5*C27</f>
        <v>214287.53376008419</v>
      </c>
      <c r="E29" s="17">
        <f t="shared" ref="E29:H29" si="7">0.5*E27+0.5*D27</f>
        <v>252715.05000000002</v>
      </c>
      <c r="F29" s="17">
        <f t="shared" si="7"/>
        <v>286704.45828000002</v>
      </c>
      <c r="G29" s="17">
        <f t="shared" si="7"/>
        <v>308861.85472560005</v>
      </c>
      <c r="H29" s="17">
        <f t="shared" si="7"/>
        <v>315039.09182011208</v>
      </c>
    </row>
    <row r="30" spans="1:15" s="17" customFormat="1" x14ac:dyDescent="0.2"/>
    <row r="31" spans="1:15" s="17" customFormat="1" x14ac:dyDescent="0.2">
      <c r="A31" s="16" t="s">
        <v>395</v>
      </c>
      <c r="C31" s="16">
        <f>211291</f>
        <v>211291</v>
      </c>
      <c r="D31" s="17">
        <f>218253</f>
        <v>218253</v>
      </c>
      <c r="E31" s="17">
        <v>255000</v>
      </c>
      <c r="F31" s="17">
        <v>291000</v>
      </c>
      <c r="G31" s="17">
        <v>315000</v>
      </c>
      <c r="H31" s="17">
        <v>320000</v>
      </c>
    </row>
    <row r="32" spans="1:15" s="17" customFormat="1" x14ac:dyDescent="0.2">
      <c r="A32" s="16"/>
    </row>
    <row r="33" spans="1:20" s="17" customFormat="1" x14ac:dyDescent="0.2">
      <c r="A33" s="16" t="s">
        <v>413</v>
      </c>
      <c r="C33" s="17">
        <f>C31-C29</f>
        <v>44237.932479831623</v>
      </c>
      <c r="D33" s="17">
        <f t="shared" ref="D33:H33" si="8">D31-D29</f>
        <v>3965.4662399158115</v>
      </c>
      <c r="E33" s="17">
        <f t="shared" si="8"/>
        <v>2284.9499999999825</v>
      </c>
      <c r="F33" s="17">
        <f t="shared" si="8"/>
        <v>4295.5417199999793</v>
      </c>
      <c r="G33" s="17">
        <f t="shared" si="8"/>
        <v>6138.1452743999544</v>
      </c>
      <c r="H33" s="17">
        <f t="shared" si="8"/>
        <v>4960.9081798879197</v>
      </c>
    </row>
    <row r="34" spans="1:20" s="17" customFormat="1" x14ac:dyDescent="0.2">
      <c r="A34" s="16"/>
    </row>
    <row r="35" spans="1:20" s="17" customFormat="1" x14ac:dyDescent="0.2">
      <c r="A35" s="16" t="s">
        <v>434</v>
      </c>
    </row>
    <row r="36" spans="1:20" s="17" customFormat="1" x14ac:dyDescent="0.2"/>
    <row r="37" spans="1:20" s="17" customFormat="1" ht="49.5" customHeight="1" x14ac:dyDescent="0.2">
      <c r="B37" s="164" t="s">
        <v>415</v>
      </c>
      <c r="C37" s="164" t="s">
        <v>408</v>
      </c>
      <c r="D37" s="177" t="s">
        <v>448</v>
      </c>
      <c r="E37" s="164" t="s">
        <v>449</v>
      </c>
      <c r="F37" s="164" t="s">
        <v>450</v>
      </c>
      <c r="G37" s="164" t="s">
        <v>410</v>
      </c>
      <c r="H37" s="177" t="s">
        <v>451</v>
      </c>
      <c r="I37" s="164" t="s">
        <v>452</v>
      </c>
      <c r="J37" s="164" t="s">
        <v>453</v>
      </c>
      <c r="K37" s="177" t="s">
        <v>454</v>
      </c>
      <c r="L37" s="164" t="s">
        <v>455</v>
      </c>
      <c r="M37" s="164" t="s">
        <v>456</v>
      </c>
      <c r="N37" s="170" t="s">
        <v>445</v>
      </c>
      <c r="O37" s="16"/>
      <c r="Q37" s="86">
        <v>0.05</v>
      </c>
      <c r="R37" s="86">
        <v>0.1</v>
      </c>
      <c r="S37" s="86">
        <v>0.15</v>
      </c>
      <c r="T37" s="86">
        <v>0.2</v>
      </c>
    </row>
    <row r="38" spans="1:20" s="17" customFormat="1" ht="7.5" customHeight="1" x14ac:dyDescent="0.2">
      <c r="C38" s="155"/>
      <c r="D38" s="178"/>
      <c r="E38" s="155"/>
      <c r="F38" s="155"/>
      <c r="G38" s="155"/>
      <c r="H38" s="178"/>
      <c r="I38" s="155"/>
      <c r="J38" s="155"/>
      <c r="K38" s="185"/>
      <c r="L38" s="154"/>
      <c r="M38" s="154"/>
    </row>
    <row r="39" spans="1:20" s="17" customFormat="1" x14ac:dyDescent="0.2">
      <c r="A39" t="s">
        <v>396</v>
      </c>
      <c r="B39" s="157">
        <v>2069</v>
      </c>
      <c r="C39" s="158">
        <v>6</v>
      </c>
      <c r="D39" s="179">
        <v>12</v>
      </c>
      <c r="E39" s="171">
        <v>11</v>
      </c>
      <c r="F39" s="171">
        <v>12</v>
      </c>
      <c r="G39" s="158">
        <f>B39*C39/1.2</f>
        <v>10345</v>
      </c>
      <c r="H39" s="179">
        <f>B39*D39/1.2</f>
        <v>20690</v>
      </c>
      <c r="I39" s="158">
        <f>B39*E39/1.2</f>
        <v>18965.833333333336</v>
      </c>
      <c r="J39" s="158">
        <f>B39*F39/1.2</f>
        <v>20690</v>
      </c>
      <c r="K39" s="186">
        <f>(D39/$C39)-1</f>
        <v>1</v>
      </c>
      <c r="L39" s="151">
        <f t="shared" ref="K39:M54" si="9">(E39/$C39)-1</f>
        <v>0.83333333333333326</v>
      </c>
      <c r="M39" s="151">
        <f t="shared" si="9"/>
        <v>1</v>
      </c>
      <c r="N39" s="146">
        <f>C39*1.3</f>
        <v>7.8000000000000007</v>
      </c>
      <c r="O39" s="146"/>
      <c r="P39" s="158"/>
      <c r="Q39" s="162">
        <f>C39*1.05</f>
        <v>6.3000000000000007</v>
      </c>
      <c r="R39" s="162">
        <f>C39*1.1</f>
        <v>6.6000000000000005</v>
      </c>
      <c r="S39" s="162">
        <f>C39*1.15</f>
        <v>6.8999999999999995</v>
      </c>
      <c r="T39" s="162">
        <f>C39*1.2</f>
        <v>7.1999999999999993</v>
      </c>
    </row>
    <row r="40" spans="1:20" s="17" customFormat="1" x14ac:dyDescent="0.2">
      <c r="A40" t="s">
        <v>397</v>
      </c>
      <c r="B40" s="157">
        <v>1046</v>
      </c>
      <c r="C40" s="158">
        <v>19.5</v>
      </c>
      <c r="D40" s="179">
        <v>12</v>
      </c>
      <c r="E40" s="171">
        <v>11</v>
      </c>
      <c r="F40" s="171">
        <v>12</v>
      </c>
      <c r="G40" s="158">
        <f>B40*C40/1.2</f>
        <v>16997.5</v>
      </c>
      <c r="H40" s="179">
        <f>B40*D40/1.2</f>
        <v>10460</v>
      </c>
      <c r="I40" s="158">
        <f t="shared" ref="I40:I41" si="10">B40*E40/1.2</f>
        <v>9588.3333333333339</v>
      </c>
      <c r="J40" s="158">
        <f t="shared" ref="J40:J41" si="11">B40*F40/1.2</f>
        <v>10460</v>
      </c>
      <c r="K40" s="186">
        <f t="shared" ref="K40:K57" si="12">(D40/$C40)-1</f>
        <v>-0.38461538461538458</v>
      </c>
      <c r="L40" s="151">
        <f t="shared" si="9"/>
        <v>-0.4358974358974359</v>
      </c>
      <c r="M40" s="151">
        <f t="shared" si="9"/>
        <v>-0.38461538461538458</v>
      </c>
      <c r="N40" s="146">
        <f>C40*1.3</f>
        <v>25.35</v>
      </c>
      <c r="O40" s="146"/>
      <c r="P40" s="158"/>
      <c r="Q40" s="162">
        <f>C40*1.05</f>
        <v>20.475000000000001</v>
      </c>
      <c r="R40" s="162">
        <f>C40*1.1</f>
        <v>21.450000000000003</v>
      </c>
      <c r="S40" s="162">
        <f>C40*1.15</f>
        <v>22.424999999999997</v>
      </c>
      <c r="T40" s="162">
        <f>C40*1.2</f>
        <v>23.4</v>
      </c>
    </row>
    <row r="41" spans="1:20" s="17" customFormat="1" x14ac:dyDescent="0.2">
      <c r="A41" t="s">
        <v>398</v>
      </c>
      <c r="B41" s="157">
        <v>20</v>
      </c>
      <c r="C41" s="158">
        <v>75</v>
      </c>
      <c r="D41" s="179">
        <v>77</v>
      </c>
      <c r="E41" s="171">
        <v>79</v>
      </c>
      <c r="F41" s="171">
        <v>83</v>
      </c>
      <c r="G41" s="158">
        <f>B41*C41/1.2</f>
        <v>1250</v>
      </c>
      <c r="H41" s="179">
        <f>B41*D41/1.2</f>
        <v>1283.3333333333335</v>
      </c>
      <c r="I41" s="158">
        <f t="shared" si="10"/>
        <v>1316.6666666666667</v>
      </c>
      <c r="J41" s="158">
        <f t="shared" si="11"/>
        <v>1383.3333333333335</v>
      </c>
      <c r="K41" s="186">
        <f t="shared" si="12"/>
        <v>2.6666666666666616E-2</v>
      </c>
      <c r="L41" s="151">
        <f t="shared" si="9"/>
        <v>5.3333333333333233E-2</v>
      </c>
      <c r="M41" s="151">
        <f t="shared" si="9"/>
        <v>0.10666666666666669</v>
      </c>
      <c r="N41" s="146">
        <f>C41*1.3</f>
        <v>97.5</v>
      </c>
      <c r="O41" s="146"/>
      <c r="P41" s="158"/>
      <c r="Q41" s="162">
        <f>C41*1.05</f>
        <v>78.75</v>
      </c>
      <c r="R41" s="162">
        <f>C41*1.1</f>
        <v>82.5</v>
      </c>
      <c r="S41" s="162">
        <f>C41*1.15</f>
        <v>86.25</v>
      </c>
      <c r="T41" s="162">
        <f>C41*1.2</f>
        <v>90</v>
      </c>
    </row>
    <row r="42" spans="1:20" s="17" customFormat="1" x14ac:dyDescent="0.2">
      <c r="A42"/>
      <c r="B42" s="157"/>
      <c r="C42" s="158"/>
      <c r="D42" s="179"/>
      <c r="E42" s="158"/>
      <c r="F42" s="171"/>
      <c r="G42" s="158"/>
      <c r="H42" s="179"/>
      <c r="I42" s="158"/>
      <c r="J42" s="158"/>
      <c r="K42" s="186"/>
      <c r="L42" s="151"/>
      <c r="M42" s="151"/>
      <c r="N42" s="146"/>
      <c r="O42" s="146"/>
      <c r="P42" s="158"/>
      <c r="Q42" s="162"/>
      <c r="R42" s="162"/>
      <c r="S42" s="162"/>
      <c r="T42" s="162"/>
    </row>
    <row r="43" spans="1:20" s="17" customFormat="1" ht="12.75" x14ac:dyDescent="0.2">
      <c r="A43" s="156" t="s">
        <v>399</v>
      </c>
      <c r="B43" s="159">
        <f>SUM(B39:B41)</f>
        <v>3135</v>
      </c>
      <c r="C43" s="162">
        <f>G43/B43</f>
        <v>9.1204146730462519</v>
      </c>
      <c r="D43" s="180">
        <f>H43/B43</f>
        <v>10.345560871876661</v>
      </c>
      <c r="E43" s="162">
        <f>I43/B43</f>
        <v>9.528176501860715</v>
      </c>
      <c r="F43" s="162">
        <f>J43/B43</f>
        <v>10.37745879851143</v>
      </c>
      <c r="G43" s="159">
        <f>SUM(G39:G41)</f>
        <v>28592.5</v>
      </c>
      <c r="H43" s="182">
        <f>SUM(H39:H41)</f>
        <v>32433.333333333332</v>
      </c>
      <c r="I43" s="159">
        <f t="shared" ref="I43:J43" si="13">SUM(I39:I41)</f>
        <v>29870.833333333339</v>
      </c>
      <c r="J43" s="159">
        <f t="shared" si="13"/>
        <v>32533.333333333332</v>
      </c>
      <c r="K43" s="186">
        <f t="shared" si="12"/>
        <v>0.13433009821922992</v>
      </c>
      <c r="L43" s="151">
        <f t="shared" si="9"/>
        <v>4.4708694004838456E-2</v>
      </c>
      <c r="M43" s="151">
        <f t="shared" si="9"/>
        <v>0.13782751887149902</v>
      </c>
      <c r="N43" s="146"/>
      <c r="O43" s="146"/>
      <c r="P43" s="158"/>
      <c r="Q43" s="162"/>
      <c r="R43" s="162"/>
      <c r="S43" s="162"/>
      <c r="T43" s="162"/>
    </row>
    <row r="44" spans="1:20" s="17" customFormat="1" ht="12.75" x14ac:dyDescent="0.2">
      <c r="A44" s="156"/>
      <c r="B44" s="159"/>
      <c r="C44" s="158"/>
      <c r="D44" s="179"/>
      <c r="E44" s="158"/>
      <c r="F44" s="171"/>
      <c r="G44" s="159"/>
      <c r="H44" s="182"/>
      <c r="I44" s="159"/>
      <c r="J44" s="159"/>
      <c r="K44" s="186"/>
      <c r="L44" s="151"/>
      <c r="M44" s="151"/>
      <c r="N44" s="146"/>
      <c r="O44" s="146"/>
      <c r="P44" s="158"/>
      <c r="Q44" s="162"/>
      <c r="R44" s="162"/>
      <c r="S44" s="162"/>
      <c r="T44" s="162"/>
    </row>
    <row r="45" spans="1:20" s="17" customFormat="1" x14ac:dyDescent="0.2">
      <c r="A45" t="s">
        <v>400</v>
      </c>
      <c r="B45" s="157">
        <v>4478</v>
      </c>
      <c r="C45" s="158">
        <v>18</v>
      </c>
      <c r="D45" s="179">
        <v>20</v>
      </c>
      <c r="E45" s="171">
        <v>19</v>
      </c>
      <c r="F45" s="171">
        <v>20</v>
      </c>
      <c r="G45" s="158">
        <f t="shared" ref="G45:G50" si="14">B45*C45/1.2</f>
        <v>67170</v>
      </c>
      <c r="H45" s="179">
        <f t="shared" ref="H45:H50" si="15">B45*D45/1.2</f>
        <v>74633.333333333343</v>
      </c>
      <c r="I45" s="158">
        <f t="shared" ref="I45:I50" si="16">B45*E45/1.2</f>
        <v>70901.666666666672</v>
      </c>
      <c r="J45" s="158">
        <f t="shared" ref="J45:J50" si="17">B45*F45/1.2</f>
        <v>74633.333333333343</v>
      </c>
      <c r="K45" s="186">
        <f t="shared" si="12"/>
        <v>0.11111111111111116</v>
      </c>
      <c r="L45" s="151">
        <f t="shared" si="9"/>
        <v>5.555555555555558E-2</v>
      </c>
      <c r="M45" s="151">
        <f t="shared" si="9"/>
        <v>0.11111111111111116</v>
      </c>
      <c r="N45" s="146">
        <f t="shared" ref="N45:N50" si="18">C45*1.3</f>
        <v>23.400000000000002</v>
      </c>
      <c r="O45" s="146"/>
      <c r="P45" s="158"/>
      <c r="Q45" s="162">
        <f t="shared" ref="Q45:Q50" si="19">C45*1.05</f>
        <v>18.900000000000002</v>
      </c>
      <c r="R45" s="162">
        <f t="shared" ref="R45:R50" si="20">C45*1.1</f>
        <v>19.8</v>
      </c>
      <c r="S45" s="162">
        <f t="shared" ref="S45:S50" si="21">C45*1.15</f>
        <v>20.7</v>
      </c>
      <c r="T45" s="162">
        <f t="shared" ref="T45:T50" si="22">C45*1.2</f>
        <v>21.599999999999998</v>
      </c>
    </row>
    <row r="46" spans="1:20" s="17" customFormat="1" x14ac:dyDescent="0.2">
      <c r="A46" t="s">
        <v>401</v>
      </c>
      <c r="B46" s="157">
        <v>2472</v>
      </c>
      <c r="C46" s="158">
        <v>27</v>
      </c>
      <c r="D46" s="179">
        <v>35</v>
      </c>
      <c r="E46" s="171">
        <v>35</v>
      </c>
      <c r="F46" s="171">
        <v>37</v>
      </c>
      <c r="G46" s="158">
        <f t="shared" si="14"/>
        <v>55620</v>
      </c>
      <c r="H46" s="179">
        <f t="shared" si="15"/>
        <v>72100</v>
      </c>
      <c r="I46" s="158">
        <f t="shared" si="16"/>
        <v>72100</v>
      </c>
      <c r="J46" s="158">
        <f t="shared" si="17"/>
        <v>76220</v>
      </c>
      <c r="K46" s="186">
        <f t="shared" si="12"/>
        <v>0.29629629629629628</v>
      </c>
      <c r="L46" s="151">
        <f t="shared" si="9"/>
        <v>0.29629629629629628</v>
      </c>
      <c r="M46" s="151">
        <f t="shared" si="9"/>
        <v>0.37037037037037046</v>
      </c>
      <c r="N46" s="146">
        <f t="shared" si="18"/>
        <v>35.1</v>
      </c>
      <c r="O46" s="146"/>
      <c r="P46" s="158"/>
      <c r="Q46" s="162">
        <f t="shared" si="19"/>
        <v>28.35</v>
      </c>
      <c r="R46" s="162">
        <f t="shared" si="20"/>
        <v>29.700000000000003</v>
      </c>
      <c r="S46" s="162">
        <f t="shared" si="21"/>
        <v>31.049999999999997</v>
      </c>
      <c r="T46" s="162">
        <f t="shared" si="22"/>
        <v>32.4</v>
      </c>
    </row>
    <row r="47" spans="1:20" s="17" customFormat="1" x14ac:dyDescent="0.2">
      <c r="A47" t="s">
        <v>402</v>
      </c>
      <c r="B47" s="157">
        <v>2860</v>
      </c>
      <c r="C47" s="158">
        <v>39</v>
      </c>
      <c r="D47" s="179">
        <v>35</v>
      </c>
      <c r="E47" s="171">
        <v>35</v>
      </c>
      <c r="F47" s="171">
        <v>37</v>
      </c>
      <c r="G47" s="158">
        <f t="shared" si="14"/>
        <v>92950</v>
      </c>
      <c r="H47" s="179">
        <f t="shared" si="15"/>
        <v>83416.666666666672</v>
      </c>
      <c r="I47" s="158">
        <f t="shared" si="16"/>
        <v>83416.666666666672</v>
      </c>
      <c r="J47" s="158">
        <f t="shared" si="17"/>
        <v>88183.333333333343</v>
      </c>
      <c r="K47" s="186">
        <f t="shared" si="12"/>
        <v>-0.10256410256410253</v>
      </c>
      <c r="L47" s="151">
        <f t="shared" si="9"/>
        <v>-0.10256410256410253</v>
      </c>
      <c r="M47" s="151">
        <f t="shared" si="9"/>
        <v>-5.1282051282051322E-2</v>
      </c>
      <c r="N47" s="146">
        <f t="shared" si="18"/>
        <v>50.7</v>
      </c>
      <c r="O47" s="146"/>
      <c r="P47" s="158"/>
      <c r="Q47" s="162">
        <f t="shared" si="19"/>
        <v>40.950000000000003</v>
      </c>
      <c r="R47" s="162">
        <f t="shared" si="20"/>
        <v>42.900000000000006</v>
      </c>
      <c r="S47" s="162">
        <f t="shared" si="21"/>
        <v>44.849999999999994</v>
      </c>
      <c r="T47" s="162">
        <f t="shared" si="22"/>
        <v>46.8</v>
      </c>
    </row>
    <row r="48" spans="1:20" s="17" customFormat="1" x14ac:dyDescent="0.2">
      <c r="A48" t="s">
        <v>403</v>
      </c>
      <c r="B48" s="157">
        <v>110</v>
      </c>
      <c r="C48" s="158">
        <v>75</v>
      </c>
      <c r="D48" s="179">
        <v>77</v>
      </c>
      <c r="E48" s="171">
        <v>79</v>
      </c>
      <c r="F48" s="171">
        <v>83</v>
      </c>
      <c r="G48" s="158">
        <f t="shared" si="14"/>
        <v>6875</v>
      </c>
      <c r="H48" s="179">
        <f t="shared" si="15"/>
        <v>7058.3333333333339</v>
      </c>
      <c r="I48" s="158">
        <f t="shared" si="16"/>
        <v>7241.666666666667</v>
      </c>
      <c r="J48" s="158">
        <f t="shared" si="17"/>
        <v>7608.3333333333339</v>
      </c>
      <c r="K48" s="186">
        <f t="shared" si="12"/>
        <v>2.6666666666666616E-2</v>
      </c>
      <c r="L48" s="151">
        <f t="shared" si="9"/>
        <v>5.3333333333333233E-2</v>
      </c>
      <c r="M48" s="151">
        <f t="shared" si="9"/>
        <v>0.10666666666666669</v>
      </c>
      <c r="N48" s="146">
        <f t="shared" si="18"/>
        <v>97.5</v>
      </c>
      <c r="O48" s="146"/>
      <c r="P48" s="158"/>
      <c r="Q48" s="162">
        <f t="shared" si="19"/>
        <v>78.75</v>
      </c>
      <c r="R48" s="162">
        <f t="shared" si="20"/>
        <v>82.5</v>
      </c>
      <c r="S48" s="162">
        <f t="shared" si="21"/>
        <v>86.25</v>
      </c>
      <c r="T48" s="162">
        <f t="shared" si="22"/>
        <v>90</v>
      </c>
    </row>
    <row r="49" spans="1:20" s="17" customFormat="1" x14ac:dyDescent="0.2">
      <c r="A49" t="s">
        <v>404</v>
      </c>
      <c r="B49" s="157">
        <v>510</v>
      </c>
      <c r="C49" s="158">
        <v>6</v>
      </c>
      <c r="D49" s="179">
        <v>12</v>
      </c>
      <c r="E49" s="171">
        <v>11</v>
      </c>
      <c r="F49" s="171">
        <v>12</v>
      </c>
      <c r="G49" s="158">
        <f t="shared" si="14"/>
        <v>2550</v>
      </c>
      <c r="H49" s="179">
        <f t="shared" si="15"/>
        <v>5100</v>
      </c>
      <c r="I49" s="158">
        <f t="shared" si="16"/>
        <v>4675</v>
      </c>
      <c r="J49" s="158">
        <f t="shared" si="17"/>
        <v>5100</v>
      </c>
      <c r="K49" s="186">
        <f t="shared" si="12"/>
        <v>1</v>
      </c>
      <c r="L49" s="151">
        <f t="shared" si="9"/>
        <v>0.83333333333333326</v>
      </c>
      <c r="M49" s="151">
        <f t="shared" si="9"/>
        <v>1</v>
      </c>
      <c r="N49" s="146">
        <f t="shared" si="18"/>
        <v>7.8000000000000007</v>
      </c>
      <c r="O49" s="146"/>
      <c r="P49" s="158"/>
      <c r="Q49" s="162">
        <f t="shared" si="19"/>
        <v>6.3000000000000007</v>
      </c>
      <c r="R49" s="162">
        <f t="shared" si="20"/>
        <v>6.6000000000000005</v>
      </c>
      <c r="S49" s="162">
        <f t="shared" si="21"/>
        <v>6.8999999999999995</v>
      </c>
      <c r="T49" s="162">
        <f t="shared" si="22"/>
        <v>7.1999999999999993</v>
      </c>
    </row>
    <row r="50" spans="1:20" s="17" customFormat="1" x14ac:dyDescent="0.2">
      <c r="A50" t="s">
        <v>405</v>
      </c>
      <c r="B50" s="157">
        <v>213</v>
      </c>
      <c r="C50" s="158">
        <v>10</v>
      </c>
      <c r="D50" s="179">
        <v>12</v>
      </c>
      <c r="E50" s="171">
        <v>11</v>
      </c>
      <c r="F50" s="171">
        <v>12</v>
      </c>
      <c r="G50" s="158">
        <f t="shared" si="14"/>
        <v>1775</v>
      </c>
      <c r="H50" s="179">
        <f t="shared" si="15"/>
        <v>2130</v>
      </c>
      <c r="I50" s="158">
        <f t="shared" si="16"/>
        <v>1952.5</v>
      </c>
      <c r="J50" s="158">
        <f t="shared" si="17"/>
        <v>2130</v>
      </c>
      <c r="K50" s="186">
        <f t="shared" si="12"/>
        <v>0.19999999999999996</v>
      </c>
      <c r="L50" s="151">
        <f t="shared" si="9"/>
        <v>0.10000000000000009</v>
      </c>
      <c r="M50" s="151">
        <f t="shared" si="9"/>
        <v>0.19999999999999996</v>
      </c>
      <c r="N50" s="146">
        <f t="shared" si="18"/>
        <v>13</v>
      </c>
      <c r="O50" s="146"/>
      <c r="P50" s="158"/>
      <c r="Q50" s="162">
        <f t="shared" si="19"/>
        <v>10.5</v>
      </c>
      <c r="R50" s="162">
        <f t="shared" si="20"/>
        <v>11</v>
      </c>
      <c r="S50" s="162">
        <f t="shared" si="21"/>
        <v>11.5</v>
      </c>
      <c r="T50" s="162">
        <f t="shared" si="22"/>
        <v>12</v>
      </c>
    </row>
    <row r="51" spans="1:20" s="17" customFormat="1" x14ac:dyDescent="0.2">
      <c r="A51"/>
      <c r="B51" s="157"/>
      <c r="C51" s="158"/>
      <c r="D51" s="179"/>
      <c r="E51" s="158"/>
      <c r="F51" s="171"/>
      <c r="G51" s="158"/>
      <c r="H51" s="179"/>
      <c r="I51" s="158"/>
      <c r="J51" s="158"/>
      <c r="K51" s="186"/>
      <c r="L51" s="151"/>
      <c r="M51" s="151"/>
      <c r="N51" s="146"/>
      <c r="O51" s="146"/>
      <c r="P51" s="158"/>
      <c r="Q51" s="162"/>
      <c r="R51" s="162"/>
      <c r="S51" s="162"/>
      <c r="T51" s="162"/>
    </row>
    <row r="52" spans="1:20" s="17" customFormat="1" ht="12.75" x14ac:dyDescent="0.2">
      <c r="A52" s="156" t="s">
        <v>406</v>
      </c>
      <c r="B52" s="160">
        <f>SUM(B45:B50)</f>
        <v>10643</v>
      </c>
      <c r="C52" s="162">
        <f>G52/B52</f>
        <v>21.322935262613925</v>
      </c>
      <c r="D52" s="180">
        <f>H52/B52</f>
        <v>22.967051896395127</v>
      </c>
      <c r="E52" s="162">
        <f>I52/B52</f>
        <v>22.577045945692007</v>
      </c>
      <c r="F52" s="171">
        <f>J52/B52</f>
        <v>23.853706661655551</v>
      </c>
      <c r="G52" s="160">
        <f t="shared" ref="G52:H52" si="23">SUM(G45:G50)</f>
        <v>226940</v>
      </c>
      <c r="H52" s="183">
        <f t="shared" si="23"/>
        <v>244438.33333333334</v>
      </c>
      <c r="I52" s="160">
        <f t="shared" ref="I52:J52" si="24">SUM(I45:I50)</f>
        <v>240287.50000000003</v>
      </c>
      <c r="J52" s="160">
        <f t="shared" si="24"/>
        <v>253875.00000000003</v>
      </c>
      <c r="K52" s="186">
        <f t="shared" si="12"/>
        <v>7.7105549190681799E-2</v>
      </c>
      <c r="L52" s="151">
        <f t="shared" si="9"/>
        <v>5.8815105314180105E-2</v>
      </c>
      <c r="M52" s="151">
        <f t="shared" si="9"/>
        <v>0.11868775887899896</v>
      </c>
      <c r="N52" s="146"/>
      <c r="O52" s="146"/>
      <c r="P52" s="158"/>
      <c r="Q52" s="162"/>
      <c r="R52" s="162"/>
      <c r="S52" s="162"/>
      <c r="T52" s="162"/>
    </row>
    <row r="53" spans="1:20" s="17" customFormat="1" ht="12.75" x14ac:dyDescent="0.2">
      <c r="A53" s="156"/>
      <c r="B53" s="160"/>
      <c r="C53" s="158"/>
      <c r="D53" s="179"/>
      <c r="E53" s="158"/>
      <c r="F53" s="171"/>
      <c r="G53" s="160"/>
      <c r="H53" s="183"/>
      <c r="I53" s="160"/>
      <c r="J53" s="160"/>
      <c r="K53" s="186"/>
      <c r="L53" s="151"/>
      <c r="M53" s="151"/>
      <c r="N53" s="146"/>
      <c r="O53" s="146"/>
      <c r="P53" s="158"/>
      <c r="Q53" s="162"/>
      <c r="R53" s="162"/>
      <c r="S53" s="162"/>
      <c r="T53" s="162"/>
    </row>
    <row r="54" spans="1:20" s="17" customFormat="1" ht="12.75" x14ac:dyDescent="0.2">
      <c r="A54" s="156" t="s">
        <v>407</v>
      </c>
      <c r="B54" s="161">
        <f>B52+B43</f>
        <v>13778</v>
      </c>
      <c r="C54" s="162">
        <f>G54/B54</f>
        <v>18.546414573958483</v>
      </c>
      <c r="D54" s="180">
        <f>H54/B54</f>
        <v>20.095200077418106</v>
      </c>
      <c r="E54" s="162">
        <f>I54/B54</f>
        <v>19.607949871776263</v>
      </c>
      <c r="F54" s="162">
        <f>J54/B54</f>
        <v>20.787366332801085</v>
      </c>
      <c r="G54" s="161">
        <f t="shared" ref="G54:H54" si="25">G52+G43</f>
        <v>255532.5</v>
      </c>
      <c r="H54" s="182">
        <f t="shared" si="25"/>
        <v>276871.66666666669</v>
      </c>
      <c r="I54" s="161">
        <f t="shared" ref="I54:J54" si="26">I52+I43</f>
        <v>270158.33333333337</v>
      </c>
      <c r="J54" s="161">
        <f t="shared" si="26"/>
        <v>286408.33333333337</v>
      </c>
      <c r="K54" s="186">
        <f t="shared" si="9"/>
        <v>8.3508620886449725E-2</v>
      </c>
      <c r="L54" s="151">
        <f t="shared" si="9"/>
        <v>5.723668548358174E-2</v>
      </c>
      <c r="M54" s="151">
        <f t="shared" si="9"/>
        <v>0.12082937917225167</v>
      </c>
      <c r="N54" s="146"/>
      <c r="O54" s="146"/>
      <c r="P54" s="158"/>
      <c r="Q54" s="162"/>
      <c r="R54" s="162"/>
      <c r="S54" s="162"/>
      <c r="T54" s="162"/>
    </row>
    <row r="55" spans="1:20" s="17" customFormat="1" ht="12.75" x14ac:dyDescent="0.2">
      <c r="A55" s="156"/>
      <c r="B55" s="161"/>
      <c r="C55" s="162"/>
      <c r="D55" s="180"/>
      <c r="E55" s="162"/>
      <c r="F55" s="171"/>
      <c r="G55" s="161"/>
      <c r="H55" s="182"/>
      <c r="I55" s="161"/>
      <c r="J55" s="161"/>
      <c r="K55" s="186"/>
      <c r="L55" s="151"/>
      <c r="M55" s="151"/>
      <c r="N55" s="146"/>
      <c r="O55" s="146"/>
      <c r="P55" s="158"/>
      <c r="Q55" s="162"/>
      <c r="R55" s="162"/>
      <c r="S55" s="162"/>
      <c r="T55" s="162"/>
    </row>
    <row r="56" spans="1:20" s="17" customFormat="1" x14ac:dyDescent="0.2">
      <c r="A56" t="s">
        <v>446</v>
      </c>
      <c r="B56"/>
      <c r="C56" s="171">
        <f>((G46+G47)/(B46+B47))*1.2</f>
        <v>33.436609152288071</v>
      </c>
      <c r="D56" s="181">
        <f>((H46+H47)/(B46+B47))*1.2</f>
        <v>35.000000000000007</v>
      </c>
      <c r="E56" s="171">
        <f>((I46+I47)/(B46+B47))*1.2</f>
        <v>35.000000000000007</v>
      </c>
      <c r="F56" s="171">
        <f>((J46+J47)/(B46+B47))*1.2</f>
        <v>37</v>
      </c>
      <c r="G56"/>
      <c r="H56" s="184"/>
      <c r="I56"/>
      <c r="J56"/>
      <c r="K56" s="186">
        <f t="shared" si="12"/>
        <v>4.6756859841601273E-2</v>
      </c>
      <c r="L56" s="151">
        <f t="shared" ref="L56:L57" si="27">(E56/$C56)-1</f>
        <v>4.6756859841601273E-2</v>
      </c>
      <c r="M56" s="151">
        <f t="shared" ref="M56:M57" si="28">(F56/$C56)-1</f>
        <v>0.10657153754683546</v>
      </c>
      <c r="N56" s="146">
        <f>C56*1.3</f>
        <v>43.467591897974494</v>
      </c>
      <c r="O56" s="146"/>
      <c r="Q56" s="162">
        <f>C56*1.05</f>
        <v>35.108439609902476</v>
      </c>
      <c r="R56" s="162">
        <f>C56*1.1</f>
        <v>36.780270067516881</v>
      </c>
      <c r="S56" s="162">
        <f>C56*1.15</f>
        <v>38.452100525131279</v>
      </c>
      <c r="T56" s="162">
        <f>C56*1.2</f>
        <v>40.123930982745684</v>
      </c>
    </row>
    <row r="57" spans="1:20" s="17" customFormat="1" ht="12.75" x14ac:dyDescent="0.2">
      <c r="A57" s="123" t="s">
        <v>447</v>
      </c>
      <c r="B57"/>
      <c r="C57" s="171">
        <f>(G39+G40)/(B39+B40)*1.2</f>
        <v>10.53322632423756</v>
      </c>
      <c r="D57" s="181">
        <f>(H39+H40)/(B39+B40)*1.2</f>
        <v>12</v>
      </c>
      <c r="E57" s="171">
        <f>(I39+I40)/(B39+B40)*1.2</f>
        <v>11.000000000000002</v>
      </c>
      <c r="F57" s="171">
        <f>(J39+J40)/(B39+B40)*1.2</f>
        <v>12</v>
      </c>
      <c r="G57"/>
      <c r="H57" s="184"/>
      <c r="I57"/>
      <c r="J57"/>
      <c r="K57" s="186">
        <f t="shared" si="12"/>
        <v>0.13925208009509005</v>
      </c>
      <c r="L57" s="151">
        <f t="shared" si="27"/>
        <v>4.4314406753832802E-2</v>
      </c>
      <c r="M57" s="151">
        <f t="shared" si="28"/>
        <v>0.13925208009509005</v>
      </c>
      <c r="N57" s="146">
        <f>C57*1.3</f>
        <v>13.693194221508829</v>
      </c>
      <c r="O57" s="146"/>
      <c r="Q57" s="162">
        <f>C57*1.05</f>
        <v>11.059887640449439</v>
      </c>
      <c r="R57" s="162">
        <f>C57*1.1</f>
        <v>11.586548956661318</v>
      </c>
      <c r="S57" s="162">
        <f>C57*1.15</f>
        <v>12.113210272873193</v>
      </c>
      <c r="T57" s="162">
        <f>C57*1.2</f>
        <v>12.639871589085072</v>
      </c>
    </row>
    <row r="58" spans="1:20" s="17" customFormat="1" x14ac:dyDescent="0.2">
      <c r="B58" s="158"/>
      <c r="C58" s="158"/>
      <c r="D58" s="158"/>
      <c r="E58" s="158"/>
      <c r="F58" s="158"/>
      <c r="G58" s="158"/>
      <c r="H58" s="158"/>
      <c r="I58" s="158"/>
      <c r="J58" s="158"/>
      <c r="K58" s="158"/>
      <c r="L58" s="158"/>
      <c r="M58" s="158"/>
      <c r="N58" s="158"/>
      <c r="O58" s="158"/>
      <c r="P58" s="158"/>
    </row>
    <row r="59" spans="1:20" x14ac:dyDescent="0.2">
      <c r="B59" s="158"/>
      <c r="C59" s="158"/>
      <c r="D59" s="158"/>
      <c r="E59" s="158"/>
      <c r="F59" s="158"/>
      <c r="G59" s="158"/>
      <c r="H59" s="158"/>
      <c r="I59" s="158"/>
      <c r="J59" s="158"/>
      <c r="K59" s="163" t="s">
        <v>412</v>
      </c>
      <c r="L59" s="163"/>
      <c r="M59" s="163"/>
      <c r="N59" s="158"/>
      <c r="O59" s="158"/>
      <c r="P59" s="158"/>
    </row>
    <row r="60" spans="1:20" x14ac:dyDescent="0.2">
      <c r="B60" s="158"/>
      <c r="C60" s="158"/>
      <c r="D60" s="158"/>
      <c r="E60" s="158"/>
      <c r="F60" s="158"/>
      <c r="G60" s="158"/>
      <c r="H60" s="158"/>
      <c r="I60" s="158"/>
      <c r="J60" s="158"/>
      <c r="K60" s="158"/>
      <c r="L60" s="158"/>
      <c r="M60" s="158"/>
      <c r="N60" s="158"/>
      <c r="O60" s="158"/>
      <c r="P60" s="158"/>
    </row>
    <row r="61" spans="1:20" x14ac:dyDescent="0.2">
      <c r="A61" s="18" t="s">
        <v>252</v>
      </c>
      <c r="B61" s="158"/>
      <c r="C61" s="158"/>
      <c r="D61" s="158"/>
      <c r="E61" s="158"/>
      <c r="F61" s="158"/>
      <c r="G61" s="158"/>
      <c r="H61" s="158"/>
      <c r="I61" s="158"/>
      <c r="J61" s="158"/>
      <c r="K61" s="158"/>
      <c r="L61" s="158"/>
      <c r="M61" s="158"/>
      <c r="N61" s="158"/>
      <c r="O61" s="158"/>
      <c r="P61" s="158"/>
    </row>
    <row r="62" spans="1:20" x14ac:dyDescent="0.2">
      <c r="B62" s="158"/>
      <c r="C62" s="158"/>
      <c r="D62" s="158"/>
      <c r="E62" s="158"/>
      <c r="F62" s="158"/>
      <c r="G62" s="158"/>
      <c r="H62" s="158"/>
      <c r="I62" s="158"/>
      <c r="J62" s="158"/>
      <c r="K62" s="158"/>
      <c r="L62" s="158"/>
      <c r="M62" s="158"/>
      <c r="N62" s="158"/>
      <c r="O62" s="158"/>
      <c r="P62" s="158"/>
    </row>
    <row r="63" spans="1:20" x14ac:dyDescent="0.2">
      <c r="A63" s="13" t="s">
        <v>253</v>
      </c>
    </row>
    <row r="64" spans="1:20" x14ac:dyDescent="0.2">
      <c r="A64" s="13" t="s">
        <v>254</v>
      </c>
      <c r="L64">
        <f>10.5*1.1</f>
        <v>11.55</v>
      </c>
    </row>
    <row r="65" spans="1:14" x14ac:dyDescent="0.2">
      <c r="A65" s="13"/>
      <c r="L65">
        <f>33.5*1.1</f>
        <v>36.85</v>
      </c>
      <c r="N65">
        <f>12/1.1</f>
        <v>10.909090909090908</v>
      </c>
    </row>
    <row r="67" spans="1:14" x14ac:dyDescent="0.2">
      <c r="A67" s="18" t="s">
        <v>273</v>
      </c>
      <c r="N67">
        <f>(6+19.5)/2</f>
        <v>12.75</v>
      </c>
    </row>
    <row r="69" spans="1:14" x14ac:dyDescent="0.2">
      <c r="A69" s="13" t="s">
        <v>343</v>
      </c>
    </row>
    <row r="71" spans="1:14" x14ac:dyDescent="0.2">
      <c r="A71" s="13" t="s">
        <v>344</v>
      </c>
    </row>
    <row r="73" spans="1:14" x14ac:dyDescent="0.2">
      <c r="A73" s="13" t="s">
        <v>345</v>
      </c>
    </row>
    <row r="75" spans="1:14" x14ac:dyDescent="0.2">
      <c r="A75" s="13" t="s">
        <v>384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23B32-1283-4BFF-82AA-B5370A6A1CBB}">
  <sheetPr>
    <tabColor rgb="FFFFC000"/>
  </sheetPr>
  <dimension ref="A2:A38"/>
  <sheetViews>
    <sheetView workbookViewId="0">
      <selection activeCell="B50" sqref="B50"/>
    </sheetView>
  </sheetViews>
  <sheetFormatPr defaultRowHeight="12" x14ac:dyDescent="0.2"/>
  <sheetData>
    <row r="2" spans="1:1" x14ac:dyDescent="0.2">
      <c r="A2" s="13" t="s">
        <v>457</v>
      </c>
    </row>
    <row r="4" spans="1:1" x14ac:dyDescent="0.2">
      <c r="A4" t="s">
        <v>483</v>
      </c>
    </row>
    <row r="6" spans="1:1" x14ac:dyDescent="0.2">
      <c r="A6" s="13" t="s">
        <v>458</v>
      </c>
    </row>
    <row r="8" spans="1:1" x14ac:dyDescent="0.2">
      <c r="A8" t="s">
        <v>482</v>
      </c>
    </row>
    <row r="9" spans="1:1" x14ac:dyDescent="0.2">
      <c r="A9" s="13" t="s">
        <v>459</v>
      </c>
    </row>
    <row r="10" spans="1:1" x14ac:dyDescent="0.2">
      <c r="A10" s="13" t="s">
        <v>471</v>
      </c>
    </row>
    <row r="11" spans="1:1" x14ac:dyDescent="0.2">
      <c r="A11" s="13" t="s">
        <v>503</v>
      </c>
    </row>
    <row r="12" spans="1:1" x14ac:dyDescent="0.2">
      <c r="A12" s="13" t="s">
        <v>509</v>
      </c>
    </row>
    <row r="14" spans="1:1" x14ac:dyDescent="0.2">
      <c r="A14" s="13" t="s">
        <v>508</v>
      </c>
    </row>
    <row r="16" spans="1:1" x14ac:dyDescent="0.2">
      <c r="A16" s="13" t="s">
        <v>510</v>
      </c>
    </row>
    <row r="17" spans="1:1" x14ac:dyDescent="0.2">
      <c r="A17" s="13" t="s">
        <v>511</v>
      </c>
    </row>
    <row r="18" spans="1:1" x14ac:dyDescent="0.2">
      <c r="A18" s="13" t="s">
        <v>516</v>
      </c>
    </row>
    <row r="19" spans="1:1" x14ac:dyDescent="0.2">
      <c r="A19" s="13" t="s">
        <v>520</v>
      </c>
    </row>
    <row r="20" spans="1:1" x14ac:dyDescent="0.2">
      <c r="A20" s="13" t="s">
        <v>521</v>
      </c>
    </row>
    <row r="21" spans="1:1" x14ac:dyDescent="0.2">
      <c r="A21" s="13" t="s">
        <v>522</v>
      </c>
    </row>
    <row r="22" spans="1:1" x14ac:dyDescent="0.2">
      <c r="A22" s="13" t="s">
        <v>548</v>
      </c>
    </row>
    <row r="24" spans="1:1" x14ac:dyDescent="0.2">
      <c r="A24" t="s">
        <v>564</v>
      </c>
    </row>
    <row r="26" spans="1:1" x14ac:dyDescent="0.2">
      <c r="A26" t="s">
        <v>565</v>
      </c>
    </row>
    <row r="27" spans="1:1" x14ac:dyDescent="0.2">
      <c r="A27" t="s">
        <v>566</v>
      </c>
    </row>
    <row r="28" spans="1:1" x14ac:dyDescent="0.2">
      <c r="A28" t="s">
        <v>568</v>
      </c>
    </row>
    <row r="29" spans="1:1" x14ac:dyDescent="0.2">
      <c r="A29" t="s">
        <v>567</v>
      </c>
    </row>
    <row r="31" spans="1:1" x14ac:dyDescent="0.2">
      <c r="A31" t="s">
        <v>575</v>
      </c>
    </row>
    <row r="33" spans="1:1" x14ac:dyDescent="0.2">
      <c r="A33" t="s">
        <v>576</v>
      </c>
    </row>
    <row r="34" spans="1:1" x14ac:dyDescent="0.2">
      <c r="A34" s="13" t="s">
        <v>587</v>
      </c>
    </row>
    <row r="35" spans="1:1" x14ac:dyDescent="0.2">
      <c r="A35" s="13" t="s">
        <v>588</v>
      </c>
    </row>
    <row r="36" spans="1:1" x14ac:dyDescent="0.2">
      <c r="A36" s="13" t="s">
        <v>589</v>
      </c>
    </row>
    <row r="37" spans="1:1" x14ac:dyDescent="0.2">
      <c r="A37" s="13" t="s">
        <v>590</v>
      </c>
    </row>
    <row r="38" spans="1:1" x14ac:dyDescent="0.2">
      <c r="A38" s="13" t="s">
        <v>591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F6A3A-508D-454D-B3A1-4B712B03140C}">
  <dimension ref="A1:I119"/>
  <sheetViews>
    <sheetView workbookViewId="0">
      <pane ySplit="1" topLeftCell="A74" activePane="bottomLeft" state="frozen"/>
      <selection pane="bottomLeft" activeCell="I101" sqref="I101"/>
    </sheetView>
  </sheetViews>
  <sheetFormatPr defaultRowHeight="12.75" x14ac:dyDescent="0.2"/>
  <cols>
    <col min="1" max="1" width="5.85546875" style="139" bestFit="1" customWidth="1"/>
    <col min="2" max="2" width="11.85546875" style="139" bestFit="1" customWidth="1"/>
    <col min="3" max="3" width="14.28515625" style="141" bestFit="1" customWidth="1"/>
    <col min="4" max="4" width="10" style="139" bestFit="1" customWidth="1"/>
    <col min="5" max="5" width="18.42578125" style="141" bestFit="1" customWidth="1"/>
    <col min="6" max="6" width="9.5703125" style="139" bestFit="1" customWidth="1"/>
    <col min="7" max="7" width="13.7109375" style="141" bestFit="1" customWidth="1"/>
    <col min="8" max="8" width="37.140625" style="141" bestFit="1" customWidth="1"/>
    <col min="9" max="9" width="64.28515625" style="139" customWidth="1"/>
    <col min="10" max="110" width="10.140625" style="139" bestFit="1" customWidth="1"/>
    <col min="111" max="16384" width="9.140625" style="139"/>
  </cols>
  <sheetData>
    <row r="1" spans="1:9" s="137" customFormat="1" x14ac:dyDescent="0.2">
      <c r="A1" s="137" t="s">
        <v>352</v>
      </c>
      <c r="B1" s="137" t="s">
        <v>353</v>
      </c>
      <c r="C1" s="138" t="s">
        <v>354</v>
      </c>
      <c r="D1" s="137" t="s">
        <v>355</v>
      </c>
      <c r="E1" s="138" t="s">
        <v>356</v>
      </c>
      <c r="F1" s="137" t="s">
        <v>357</v>
      </c>
      <c r="G1" s="138" t="s">
        <v>358</v>
      </c>
      <c r="H1" s="138" t="s">
        <v>359</v>
      </c>
      <c r="I1" s="137" t="s">
        <v>173</v>
      </c>
    </row>
    <row r="2" spans="1:9" x14ac:dyDescent="0.2">
      <c r="A2" s="139">
        <v>1</v>
      </c>
      <c r="B2" s="140">
        <v>44520</v>
      </c>
      <c r="C2" s="141">
        <v>8756</v>
      </c>
      <c r="D2" s="142"/>
      <c r="E2" s="141">
        <v>164302.91666666666</v>
      </c>
      <c r="F2" s="143">
        <f>E2/C2</f>
        <v>18.764609029998475</v>
      </c>
      <c r="G2" s="141">
        <v>4877.92</v>
      </c>
      <c r="H2" s="141">
        <v>179545.53571428577</v>
      </c>
    </row>
    <row r="3" spans="1:9" x14ac:dyDescent="0.2">
      <c r="A3" s="139">
        <v>2</v>
      </c>
      <c r="B3" s="140">
        <f t="shared" ref="B3:B66" si="0">B2+7</f>
        <v>44527</v>
      </c>
      <c r="C3" s="141">
        <v>8923</v>
      </c>
      <c r="D3" s="142"/>
      <c r="E3" s="141">
        <v>167206.25</v>
      </c>
      <c r="F3" s="143">
        <f t="shared" ref="F3:F66" si="1">E3/C3</f>
        <v>18.738793006836264</v>
      </c>
      <c r="G3" s="141">
        <v>2752.09</v>
      </c>
      <c r="H3" s="141">
        <v>180093.58000000007</v>
      </c>
    </row>
    <row r="4" spans="1:9" x14ac:dyDescent="0.2">
      <c r="A4" s="139">
        <v>3</v>
      </c>
      <c r="B4" s="140">
        <f t="shared" si="0"/>
        <v>44534</v>
      </c>
      <c r="C4" s="141">
        <v>9024</v>
      </c>
      <c r="D4" s="142"/>
      <c r="E4" s="141">
        <v>169005</v>
      </c>
      <c r="F4" s="143">
        <f t="shared" si="1"/>
        <v>18.728390957446809</v>
      </c>
      <c r="G4" s="141">
        <v>2248.33</v>
      </c>
      <c r="H4" s="141">
        <v>181880.01428571437</v>
      </c>
    </row>
    <row r="5" spans="1:9" x14ac:dyDescent="0.2">
      <c r="A5" s="139">
        <v>4</v>
      </c>
      <c r="B5" s="140">
        <f t="shared" si="0"/>
        <v>44541</v>
      </c>
      <c r="C5" s="141">
        <v>9218</v>
      </c>
      <c r="D5" s="142"/>
      <c r="E5" s="141">
        <v>172041.25</v>
      </c>
      <c r="F5" s="143">
        <f t="shared" si="1"/>
        <v>18.663620091126059</v>
      </c>
      <c r="G5" s="141">
        <v>2429.16</v>
      </c>
      <c r="H5" s="141">
        <v>183066.01857142863</v>
      </c>
    </row>
    <row r="6" spans="1:9" x14ac:dyDescent="0.2">
      <c r="A6" s="139">
        <v>5</v>
      </c>
      <c r="B6" s="140">
        <f t="shared" si="0"/>
        <v>44548</v>
      </c>
      <c r="C6" s="141">
        <v>9269</v>
      </c>
      <c r="D6" s="142"/>
      <c r="E6" s="141">
        <v>172982.08333333334</v>
      </c>
      <c r="F6" s="143">
        <f t="shared" si="1"/>
        <v>18.66243212140828</v>
      </c>
      <c r="G6" s="141">
        <v>1634.17</v>
      </c>
      <c r="H6" s="141">
        <v>183712.74285714285</v>
      </c>
    </row>
    <row r="7" spans="1:9" x14ac:dyDescent="0.2">
      <c r="A7" s="139">
        <v>6</v>
      </c>
      <c r="B7" s="140">
        <f t="shared" si="0"/>
        <v>44555</v>
      </c>
      <c r="C7" s="141">
        <v>9319</v>
      </c>
      <c r="D7" s="142"/>
      <c r="E7" s="141">
        <v>173714.58333333334</v>
      </c>
      <c r="F7" s="143">
        <f t="shared" si="1"/>
        <v>18.64090388811389</v>
      </c>
      <c r="G7" s="141">
        <v>611.66</v>
      </c>
      <c r="H7" s="141">
        <v>183731.73571428578</v>
      </c>
    </row>
    <row r="8" spans="1:9" x14ac:dyDescent="0.2">
      <c r="A8" s="139">
        <v>7</v>
      </c>
      <c r="B8" s="140">
        <f t="shared" si="0"/>
        <v>44562</v>
      </c>
      <c r="C8" s="141">
        <v>9360</v>
      </c>
      <c r="D8" s="142"/>
      <c r="E8" s="141">
        <v>174430.83333333334</v>
      </c>
      <c r="F8" s="143">
        <f t="shared" si="1"/>
        <v>18.635772792022792</v>
      </c>
      <c r="G8" s="141">
        <v>1038.33</v>
      </c>
      <c r="H8" s="141">
        <v>183680.36428571428</v>
      </c>
    </row>
    <row r="9" spans="1:9" x14ac:dyDescent="0.2">
      <c r="A9" s="139">
        <v>8</v>
      </c>
      <c r="B9" s="140">
        <f t="shared" si="0"/>
        <v>44569</v>
      </c>
      <c r="C9" s="141">
        <v>9434</v>
      </c>
      <c r="D9" s="142"/>
      <c r="E9" s="141">
        <v>175558.33333333334</v>
      </c>
      <c r="F9" s="143">
        <f t="shared" si="1"/>
        <v>18.609108896897748</v>
      </c>
      <c r="G9" s="141">
        <v>599.58000000000004</v>
      </c>
      <c r="H9" s="141">
        <v>183577.74285714288</v>
      </c>
    </row>
    <row r="10" spans="1:9" x14ac:dyDescent="0.2">
      <c r="A10" s="139">
        <v>9</v>
      </c>
      <c r="B10" s="140">
        <f t="shared" si="0"/>
        <v>44576</v>
      </c>
      <c r="C10" s="141">
        <v>9530</v>
      </c>
      <c r="D10" s="142"/>
      <c r="E10" s="141">
        <v>177284.16666666666</v>
      </c>
      <c r="F10" s="143">
        <f t="shared" si="1"/>
        <v>18.602745715285064</v>
      </c>
      <c r="G10" s="141">
        <v>1864.99</v>
      </c>
      <c r="H10" s="141">
        <v>184052.02999999997</v>
      </c>
    </row>
    <row r="11" spans="1:9" x14ac:dyDescent="0.2">
      <c r="A11" s="139">
        <v>10</v>
      </c>
      <c r="B11" s="140">
        <f t="shared" si="0"/>
        <v>44583</v>
      </c>
      <c r="C11" s="141">
        <v>9659</v>
      </c>
      <c r="D11" s="142"/>
      <c r="E11" s="141">
        <v>179340.83333333334</v>
      </c>
      <c r="F11" s="143">
        <f t="shared" si="1"/>
        <v>18.567225730751975</v>
      </c>
      <c r="G11" s="141">
        <v>1661.67</v>
      </c>
      <c r="H11" s="141">
        <v>184667.44857142857</v>
      </c>
    </row>
    <row r="12" spans="1:9" x14ac:dyDescent="0.2">
      <c r="A12" s="139">
        <v>11</v>
      </c>
      <c r="B12" s="140">
        <f t="shared" si="0"/>
        <v>44590</v>
      </c>
      <c r="C12" s="141">
        <v>9774</v>
      </c>
      <c r="D12" s="142"/>
      <c r="E12" s="141">
        <v>181396.66666666666</v>
      </c>
      <c r="F12" s="143">
        <f t="shared" si="1"/>
        <v>18.55910238046518</v>
      </c>
      <c r="G12" s="141">
        <v>1962.08</v>
      </c>
      <c r="H12" s="141">
        <v>185992.0857142857</v>
      </c>
    </row>
    <row r="13" spans="1:9" x14ac:dyDescent="0.2">
      <c r="A13" s="139">
        <v>12</v>
      </c>
      <c r="B13" s="140">
        <f t="shared" si="0"/>
        <v>44597</v>
      </c>
      <c r="C13" s="141">
        <v>9916</v>
      </c>
      <c r="D13" s="142"/>
      <c r="E13" s="141">
        <v>184307.08333333334</v>
      </c>
      <c r="F13" s="143">
        <f t="shared" si="1"/>
        <v>18.586837770606429</v>
      </c>
      <c r="G13" s="141">
        <v>3157.5</v>
      </c>
      <c r="H13" s="141">
        <v>187913.51142857136</v>
      </c>
    </row>
    <row r="14" spans="1:9" x14ac:dyDescent="0.2">
      <c r="A14" s="139">
        <v>13</v>
      </c>
      <c r="B14" s="140">
        <f t="shared" si="0"/>
        <v>44604</v>
      </c>
      <c r="C14" s="141">
        <v>9992</v>
      </c>
      <c r="D14" s="142"/>
      <c r="E14" s="141">
        <v>185864.58333333334</v>
      </c>
      <c r="F14" s="143">
        <f t="shared" si="1"/>
        <v>18.601339404857221</v>
      </c>
      <c r="G14" s="141">
        <v>1733.76</v>
      </c>
      <c r="H14" s="141">
        <v>189556.96714285712</v>
      </c>
    </row>
    <row r="15" spans="1:9" x14ac:dyDescent="0.2">
      <c r="A15" s="139">
        <v>14</v>
      </c>
      <c r="B15" s="140">
        <f t="shared" si="0"/>
        <v>44611</v>
      </c>
      <c r="C15" s="141">
        <v>10097</v>
      </c>
      <c r="D15" s="142"/>
      <c r="E15" s="141">
        <v>187882.08333333334</v>
      </c>
      <c r="F15" s="143">
        <f t="shared" si="1"/>
        <v>18.607713512264368</v>
      </c>
      <c r="G15" s="141">
        <v>1674.58</v>
      </c>
      <c r="H15" s="141">
        <v>190813.87285714285</v>
      </c>
    </row>
    <row r="16" spans="1:9" x14ac:dyDescent="0.2">
      <c r="A16" s="139">
        <v>15</v>
      </c>
      <c r="B16" s="140">
        <f t="shared" si="0"/>
        <v>44618</v>
      </c>
      <c r="C16" s="141">
        <v>10195</v>
      </c>
      <c r="D16" s="142"/>
      <c r="E16" s="141">
        <v>189823.33333333334</v>
      </c>
      <c r="F16" s="143">
        <f t="shared" si="1"/>
        <v>18.61925780611411</v>
      </c>
      <c r="G16" s="141">
        <v>1910.83</v>
      </c>
      <c r="H16" s="141">
        <v>192187.38571428572</v>
      </c>
    </row>
    <row r="17" spans="1:8" x14ac:dyDescent="0.2">
      <c r="A17" s="139">
        <v>16</v>
      </c>
      <c r="B17" s="140">
        <f t="shared" si="0"/>
        <v>44625</v>
      </c>
      <c r="C17" s="141">
        <v>10229</v>
      </c>
      <c r="D17" s="142"/>
      <c r="E17" s="141">
        <v>190475.41666666666</v>
      </c>
      <c r="F17" s="143">
        <f t="shared" si="1"/>
        <v>18.621118063023427</v>
      </c>
      <c r="G17" s="141">
        <v>1696.67</v>
      </c>
      <c r="H17" s="141">
        <v>193397.3871428571</v>
      </c>
    </row>
    <row r="18" spans="1:8" x14ac:dyDescent="0.2">
      <c r="A18" s="139">
        <v>17</v>
      </c>
      <c r="B18" s="140">
        <f t="shared" si="0"/>
        <v>44632</v>
      </c>
      <c r="C18" s="141">
        <v>10290</v>
      </c>
      <c r="D18" s="142"/>
      <c r="E18" s="141">
        <v>191907.5</v>
      </c>
      <c r="F18" s="143">
        <f t="shared" si="1"/>
        <v>18.649902818270164</v>
      </c>
      <c r="G18" s="141">
        <v>2050.42</v>
      </c>
      <c r="H18" s="141">
        <v>194352.14999999997</v>
      </c>
    </row>
    <row r="19" spans="1:8" x14ac:dyDescent="0.2">
      <c r="A19" s="139">
        <v>18</v>
      </c>
      <c r="B19" s="140">
        <f t="shared" si="0"/>
        <v>44639</v>
      </c>
      <c r="C19" s="141">
        <v>10470</v>
      </c>
      <c r="D19" s="142"/>
      <c r="E19" s="141">
        <v>194947.5</v>
      </c>
      <c r="F19" s="143">
        <f t="shared" si="1"/>
        <v>18.619627507163322</v>
      </c>
      <c r="G19" s="141">
        <v>850</v>
      </c>
      <c r="H19" s="141">
        <v>195197.02714285714</v>
      </c>
    </row>
    <row r="20" spans="1:8" x14ac:dyDescent="0.2">
      <c r="A20" s="139">
        <v>19</v>
      </c>
      <c r="B20" s="140">
        <f t="shared" si="0"/>
        <v>44646</v>
      </c>
      <c r="C20" s="141">
        <v>10553</v>
      </c>
      <c r="D20" s="142"/>
      <c r="E20" s="141">
        <v>196694.58333333334</v>
      </c>
      <c r="F20" s="143">
        <f t="shared" si="1"/>
        <v>18.638736220348086</v>
      </c>
      <c r="G20" s="141">
        <v>1760.4099999999999</v>
      </c>
      <c r="H20" s="141">
        <v>196331.19285714283</v>
      </c>
    </row>
    <row r="21" spans="1:8" x14ac:dyDescent="0.2">
      <c r="A21" s="139">
        <v>20</v>
      </c>
      <c r="B21" s="140">
        <f t="shared" si="0"/>
        <v>44653</v>
      </c>
      <c r="C21" s="141">
        <v>10609</v>
      </c>
      <c r="D21" s="142"/>
      <c r="E21" s="141">
        <v>198115</v>
      </c>
      <c r="F21" s="143">
        <f t="shared" si="1"/>
        <v>18.674238853803374</v>
      </c>
      <c r="G21" s="141">
        <v>1965</v>
      </c>
      <c r="H21" s="141">
        <v>197232.20285714284</v>
      </c>
    </row>
    <row r="22" spans="1:8" x14ac:dyDescent="0.2">
      <c r="A22" s="139">
        <v>21</v>
      </c>
      <c r="B22" s="140">
        <f t="shared" si="0"/>
        <v>44660</v>
      </c>
      <c r="C22" s="141">
        <v>10677</v>
      </c>
      <c r="D22" s="142"/>
      <c r="E22" s="141">
        <v>199538.75</v>
      </c>
      <c r="F22" s="143">
        <f t="shared" si="1"/>
        <v>18.688653179732135</v>
      </c>
      <c r="G22" s="141">
        <v>974.57999999999993</v>
      </c>
      <c r="H22" s="141">
        <v>198526.42857142858</v>
      </c>
    </row>
    <row r="23" spans="1:8" x14ac:dyDescent="0.2">
      <c r="A23" s="139">
        <v>22</v>
      </c>
      <c r="B23" s="140">
        <f t="shared" si="0"/>
        <v>44667</v>
      </c>
      <c r="C23" s="141">
        <v>10758</v>
      </c>
      <c r="D23" s="142"/>
      <c r="E23" s="141">
        <v>200961.66666666666</v>
      </c>
      <c r="F23" s="143">
        <f t="shared" si="1"/>
        <v>18.680206977752988</v>
      </c>
      <c r="G23" s="141">
        <v>1228.75</v>
      </c>
      <c r="H23" s="141">
        <v>199504.52857142853</v>
      </c>
    </row>
    <row r="24" spans="1:8" x14ac:dyDescent="0.2">
      <c r="A24" s="139">
        <v>23</v>
      </c>
      <c r="B24" s="140">
        <f t="shared" si="0"/>
        <v>44674</v>
      </c>
      <c r="C24" s="141">
        <v>10822</v>
      </c>
      <c r="D24" s="142"/>
      <c r="E24" s="141">
        <v>202476.25</v>
      </c>
      <c r="F24" s="143">
        <f t="shared" si="1"/>
        <v>18.709688597301792</v>
      </c>
      <c r="G24" s="141">
        <v>1504.3400000000001</v>
      </c>
      <c r="H24" s="141">
        <v>200368.20714285711</v>
      </c>
    </row>
    <row r="25" spans="1:8" x14ac:dyDescent="0.2">
      <c r="A25" s="139">
        <v>24</v>
      </c>
      <c r="B25" s="140">
        <f t="shared" si="0"/>
        <v>44681</v>
      </c>
      <c r="C25" s="141">
        <v>10903</v>
      </c>
      <c r="D25" s="142"/>
      <c r="E25" s="141">
        <v>204210.83333333334</v>
      </c>
      <c r="F25" s="143">
        <f t="shared" si="1"/>
        <v>18.729783851539331</v>
      </c>
      <c r="G25" s="141">
        <v>1530.4099999999999</v>
      </c>
      <c r="H25" s="141">
        <v>201824.76999999996</v>
      </c>
    </row>
    <row r="26" spans="1:8" x14ac:dyDescent="0.2">
      <c r="A26" s="139">
        <v>25</v>
      </c>
      <c r="B26" s="140">
        <f t="shared" si="0"/>
        <v>44688</v>
      </c>
      <c r="C26" s="141">
        <v>10972</v>
      </c>
      <c r="D26" s="142"/>
      <c r="E26" s="141">
        <v>205789.58333333334</v>
      </c>
      <c r="F26" s="143">
        <f t="shared" si="1"/>
        <v>18.755886195163448</v>
      </c>
      <c r="G26" s="141">
        <v>1382.0900000000001</v>
      </c>
      <c r="H26" s="141">
        <v>203183.28714285715</v>
      </c>
    </row>
    <row r="27" spans="1:8" x14ac:dyDescent="0.2">
      <c r="A27" s="139">
        <v>26</v>
      </c>
      <c r="B27" s="144">
        <f t="shared" si="0"/>
        <v>44695</v>
      </c>
      <c r="C27" s="141">
        <v>11016</v>
      </c>
      <c r="D27" s="142"/>
      <c r="E27" s="141">
        <v>206709.58333333334</v>
      </c>
      <c r="F27" s="143">
        <f t="shared" si="1"/>
        <v>18.764486504478334</v>
      </c>
      <c r="G27" s="141">
        <v>992.49999999999989</v>
      </c>
      <c r="H27" s="141">
        <v>203897.63571428572</v>
      </c>
    </row>
    <row r="28" spans="1:8" x14ac:dyDescent="0.2">
      <c r="A28" s="139">
        <v>27</v>
      </c>
      <c r="B28" s="144">
        <f t="shared" si="0"/>
        <v>44702</v>
      </c>
      <c r="C28" s="141">
        <v>11072</v>
      </c>
      <c r="D28" s="142"/>
      <c r="E28" s="141">
        <v>207856.66666666666</v>
      </c>
      <c r="F28" s="143">
        <f t="shared" si="1"/>
        <v>18.773181599229286</v>
      </c>
      <c r="G28" s="141">
        <v>1234.5899999999999</v>
      </c>
      <c r="H28" s="141">
        <v>204489.57</v>
      </c>
    </row>
    <row r="29" spans="1:8" x14ac:dyDescent="0.2">
      <c r="A29" s="139">
        <v>28</v>
      </c>
      <c r="B29" s="144">
        <f t="shared" si="0"/>
        <v>44709</v>
      </c>
      <c r="C29" s="141">
        <v>11120</v>
      </c>
      <c r="D29" s="142"/>
      <c r="E29" s="141">
        <v>208685.83333333334</v>
      </c>
      <c r="F29" s="143">
        <f t="shared" si="1"/>
        <v>18.766711630695443</v>
      </c>
      <c r="G29" s="141">
        <v>1264.9900000000002</v>
      </c>
      <c r="H29" s="141">
        <v>204767.27142857146</v>
      </c>
    </row>
    <row r="30" spans="1:8" x14ac:dyDescent="0.2">
      <c r="A30" s="139">
        <v>29</v>
      </c>
      <c r="B30" s="144">
        <f t="shared" si="0"/>
        <v>44716</v>
      </c>
      <c r="C30" s="141">
        <v>11173</v>
      </c>
      <c r="D30" s="142"/>
      <c r="E30" s="141">
        <v>209979.16666666666</v>
      </c>
      <c r="F30" s="143">
        <f t="shared" si="1"/>
        <v>18.793445508517557</v>
      </c>
      <c r="G30" s="141">
        <v>814.17000000000007</v>
      </c>
      <c r="H30" s="141">
        <v>205331.84857142859</v>
      </c>
    </row>
    <row r="31" spans="1:8" x14ac:dyDescent="0.2">
      <c r="A31" s="139">
        <v>30</v>
      </c>
      <c r="B31" s="144">
        <f t="shared" si="0"/>
        <v>44723</v>
      </c>
      <c r="C31" s="141">
        <v>11232</v>
      </c>
      <c r="D31" s="142"/>
      <c r="E31" s="141">
        <v>211214.58333333334</v>
      </c>
      <c r="F31" s="143">
        <f t="shared" si="1"/>
        <v>18.804717177113012</v>
      </c>
      <c r="G31" s="141">
        <v>976.25</v>
      </c>
      <c r="H31" s="141">
        <v>205558.39000000004</v>
      </c>
    </row>
    <row r="32" spans="1:8" x14ac:dyDescent="0.2">
      <c r="A32" s="139">
        <v>31</v>
      </c>
      <c r="B32" s="144">
        <f t="shared" si="0"/>
        <v>44730</v>
      </c>
      <c r="C32" s="141">
        <v>11285</v>
      </c>
      <c r="D32" s="142"/>
      <c r="E32" s="141">
        <v>212370.83333333334</v>
      </c>
      <c r="F32" s="143">
        <f t="shared" si="1"/>
        <v>18.818859843450007</v>
      </c>
      <c r="G32" s="141">
        <v>1026.67</v>
      </c>
      <c r="H32" s="141">
        <v>205722.13142857142</v>
      </c>
    </row>
    <row r="33" spans="1:9" x14ac:dyDescent="0.2">
      <c r="A33" s="139">
        <v>32</v>
      </c>
      <c r="B33" s="144">
        <f t="shared" si="0"/>
        <v>44737</v>
      </c>
      <c r="C33" s="141">
        <v>11348</v>
      </c>
      <c r="D33" s="142"/>
      <c r="E33" s="141">
        <v>213478.75</v>
      </c>
      <c r="F33" s="143">
        <f t="shared" si="1"/>
        <v>18.812015333098344</v>
      </c>
      <c r="G33" s="141">
        <v>660.41000000000008</v>
      </c>
      <c r="H33" s="141">
        <v>205718.27428571429</v>
      </c>
    </row>
    <row r="34" spans="1:9" x14ac:dyDescent="0.2">
      <c r="A34" s="139">
        <v>33</v>
      </c>
      <c r="B34" s="144">
        <f t="shared" si="0"/>
        <v>44744</v>
      </c>
      <c r="C34" s="141">
        <v>11404</v>
      </c>
      <c r="D34" s="142"/>
      <c r="E34" s="141">
        <v>214840</v>
      </c>
      <c r="F34" s="143">
        <f t="shared" si="1"/>
        <v>18.839003858295335</v>
      </c>
      <c r="G34" s="141">
        <v>1818.33</v>
      </c>
      <c r="H34" s="141">
        <v>205718.50428571427</v>
      </c>
    </row>
    <row r="35" spans="1:9" x14ac:dyDescent="0.2">
      <c r="A35" s="139">
        <v>34</v>
      </c>
      <c r="B35" s="144">
        <f t="shared" si="0"/>
        <v>44751</v>
      </c>
      <c r="C35" s="141">
        <v>11476</v>
      </c>
      <c r="D35" s="142"/>
      <c r="E35" s="141">
        <v>216677.91666666666</v>
      </c>
      <c r="F35" s="143">
        <f t="shared" si="1"/>
        <v>18.880961717206922</v>
      </c>
      <c r="G35" s="141">
        <v>2003.7399999999998</v>
      </c>
      <c r="H35" s="141">
        <v>206688.92142857137</v>
      </c>
    </row>
    <row r="36" spans="1:9" x14ac:dyDescent="0.2">
      <c r="A36" s="139">
        <v>35</v>
      </c>
      <c r="B36" s="144">
        <f t="shared" si="0"/>
        <v>44758</v>
      </c>
      <c r="C36" s="141">
        <v>11873</v>
      </c>
      <c r="D36" s="142"/>
      <c r="E36" s="141">
        <v>219550</v>
      </c>
      <c r="F36" s="143">
        <f t="shared" si="1"/>
        <v>18.4915354164912</v>
      </c>
      <c r="G36" s="141">
        <v>2461.66</v>
      </c>
      <c r="H36" s="141">
        <v>207548.38857142846</v>
      </c>
    </row>
    <row r="37" spans="1:9" x14ac:dyDescent="0.2">
      <c r="A37" s="139">
        <v>36</v>
      </c>
      <c r="B37" s="144">
        <f t="shared" si="0"/>
        <v>44765</v>
      </c>
      <c r="C37" s="141">
        <v>11902</v>
      </c>
      <c r="D37" s="142"/>
      <c r="E37" s="141">
        <v>220143.75</v>
      </c>
      <c r="F37" s="143">
        <f t="shared" si="1"/>
        <v>18.496366156948412</v>
      </c>
      <c r="G37" s="141">
        <v>1315.41</v>
      </c>
      <c r="H37" s="141">
        <v>199066.53999999986</v>
      </c>
    </row>
    <row r="38" spans="1:9" x14ac:dyDescent="0.2">
      <c r="A38" s="139">
        <v>37</v>
      </c>
      <c r="B38" s="144">
        <f t="shared" si="0"/>
        <v>44772</v>
      </c>
      <c r="C38" s="141">
        <v>11939</v>
      </c>
      <c r="D38" s="142"/>
      <c r="E38" s="141">
        <v>220872.08333333334</v>
      </c>
      <c r="F38" s="143">
        <f t="shared" si="1"/>
        <v>18.500048859480135</v>
      </c>
      <c r="G38" s="141">
        <v>1999.58</v>
      </c>
      <c r="H38" s="141">
        <v>190568.45142857125</v>
      </c>
    </row>
    <row r="39" spans="1:9" x14ac:dyDescent="0.2">
      <c r="A39" s="139">
        <v>38</v>
      </c>
      <c r="B39" s="144">
        <f t="shared" si="0"/>
        <v>44779</v>
      </c>
      <c r="C39" s="141">
        <v>11973</v>
      </c>
      <c r="D39" s="142"/>
      <c r="E39" s="141">
        <v>221676.66666666666</v>
      </c>
      <c r="F39" s="143">
        <f t="shared" si="1"/>
        <v>18.514713661293467</v>
      </c>
      <c r="G39" s="141">
        <v>2732.49</v>
      </c>
      <c r="H39" s="141">
        <v>186541.72142857124</v>
      </c>
    </row>
    <row r="40" spans="1:9" x14ac:dyDescent="0.2">
      <c r="A40" s="139">
        <v>39</v>
      </c>
      <c r="B40" s="144">
        <f t="shared" si="0"/>
        <v>44786</v>
      </c>
      <c r="C40" s="141">
        <v>12035</v>
      </c>
      <c r="D40" s="142"/>
      <c r="E40" s="141">
        <v>222951.25</v>
      </c>
      <c r="F40" s="143">
        <f t="shared" si="1"/>
        <v>18.525238886580805</v>
      </c>
      <c r="G40" s="141">
        <v>6045</v>
      </c>
      <c r="H40" s="141">
        <v>183004.74857142844</v>
      </c>
    </row>
    <row r="41" spans="1:9" x14ac:dyDescent="0.2">
      <c r="A41" s="139">
        <v>40</v>
      </c>
      <c r="B41" s="144">
        <f t="shared" si="0"/>
        <v>44793</v>
      </c>
      <c r="C41" s="141">
        <v>12159</v>
      </c>
      <c r="D41" s="142"/>
      <c r="E41" s="141">
        <v>224584.58333333334</v>
      </c>
      <c r="F41" s="143">
        <f t="shared" si="1"/>
        <v>18.470645886448995</v>
      </c>
      <c r="G41" s="141">
        <v>22760.42</v>
      </c>
      <c r="H41" s="141">
        <v>186680.22428571415</v>
      </c>
    </row>
    <row r="42" spans="1:9" x14ac:dyDescent="0.2">
      <c r="A42" s="139">
        <v>41</v>
      </c>
      <c r="B42" s="144">
        <f t="shared" si="0"/>
        <v>44800</v>
      </c>
      <c r="C42" s="141">
        <v>12266</v>
      </c>
      <c r="D42" s="142"/>
      <c r="E42" s="141">
        <v>226383.33333333334</v>
      </c>
      <c r="F42" s="143">
        <f t="shared" si="1"/>
        <v>18.456166095983477</v>
      </c>
      <c r="G42" s="141">
        <v>17731.25</v>
      </c>
      <c r="H42" s="141">
        <v>199331.657142857</v>
      </c>
      <c r="I42" s="139" t="s">
        <v>360</v>
      </c>
    </row>
    <row r="43" spans="1:9" x14ac:dyDescent="0.2">
      <c r="A43" s="139">
        <v>42</v>
      </c>
      <c r="B43" s="144">
        <f t="shared" si="0"/>
        <v>44807</v>
      </c>
      <c r="C43" s="141">
        <v>6078</v>
      </c>
      <c r="D43" s="142"/>
      <c r="E43" s="141">
        <v>117406.25</v>
      </c>
      <c r="F43" s="143">
        <f t="shared" si="1"/>
        <v>19.316592629154329</v>
      </c>
      <c r="G43" s="141">
        <v>52072.41</v>
      </c>
      <c r="H43" s="141">
        <v>221907.6657142856</v>
      </c>
    </row>
    <row r="44" spans="1:9" x14ac:dyDescent="0.2">
      <c r="A44" s="139">
        <v>43</v>
      </c>
      <c r="B44" s="144">
        <f t="shared" si="0"/>
        <v>44814</v>
      </c>
      <c r="C44" s="141">
        <v>7176</v>
      </c>
      <c r="D44" s="142"/>
      <c r="E44" s="141">
        <v>136867.91666666666</v>
      </c>
      <c r="F44" s="143">
        <f t="shared" si="1"/>
        <v>19.073009568933479</v>
      </c>
      <c r="G44" s="141">
        <v>22142.080000000002</v>
      </c>
      <c r="H44" s="141">
        <v>240638.96142857149</v>
      </c>
      <c r="I44" s="139" t="s">
        <v>361</v>
      </c>
    </row>
    <row r="45" spans="1:9" x14ac:dyDescent="0.2">
      <c r="A45" s="139">
        <v>44</v>
      </c>
      <c r="B45" s="144">
        <f t="shared" si="0"/>
        <v>44821</v>
      </c>
      <c r="C45" s="141">
        <v>7732</v>
      </c>
      <c r="D45" s="142"/>
      <c r="E45" s="141">
        <v>146759.58333333334</v>
      </c>
      <c r="F45" s="143">
        <f t="shared" si="1"/>
        <v>18.980804880151751</v>
      </c>
      <c r="G45" s="141">
        <v>13697.91</v>
      </c>
      <c r="H45" s="141">
        <v>244040.20285714293</v>
      </c>
    </row>
    <row r="46" spans="1:9" x14ac:dyDescent="0.2">
      <c r="A46" s="139">
        <v>45</v>
      </c>
      <c r="B46" s="144">
        <f t="shared" si="0"/>
        <v>44828</v>
      </c>
      <c r="C46" s="141">
        <v>8172</v>
      </c>
      <c r="D46" s="142"/>
      <c r="E46" s="141">
        <v>154752.5</v>
      </c>
      <c r="F46" s="143">
        <f t="shared" si="1"/>
        <v>18.936918746940773</v>
      </c>
      <c r="G46" s="141">
        <v>5226.92</v>
      </c>
      <c r="H46" s="141">
        <v>245274.07714285716</v>
      </c>
    </row>
    <row r="47" spans="1:9" x14ac:dyDescent="0.2">
      <c r="A47" s="139">
        <v>46</v>
      </c>
      <c r="B47" s="144">
        <f t="shared" si="0"/>
        <v>44835</v>
      </c>
      <c r="C47" s="141">
        <v>8713</v>
      </c>
      <c r="D47" s="142"/>
      <c r="E47" s="141">
        <v>164062.5</v>
      </c>
      <c r="F47" s="143">
        <f t="shared" si="1"/>
        <v>18.829622403305407</v>
      </c>
      <c r="G47" s="141">
        <v>11869.16</v>
      </c>
      <c r="H47" s="141">
        <v>247707.35</v>
      </c>
    </row>
    <row r="48" spans="1:9" x14ac:dyDescent="0.2">
      <c r="A48" s="139">
        <v>47</v>
      </c>
      <c r="B48" s="144">
        <f t="shared" si="0"/>
        <v>44842</v>
      </c>
      <c r="C48" s="141">
        <v>9224</v>
      </c>
      <c r="D48" s="142"/>
      <c r="E48" s="141">
        <v>172727.08333333334</v>
      </c>
      <c r="F48" s="143">
        <f t="shared" si="1"/>
        <v>18.725832971957214</v>
      </c>
      <c r="G48" s="141">
        <v>3404.16</v>
      </c>
      <c r="H48" s="141">
        <v>246693.76714285713</v>
      </c>
    </row>
    <row r="49" spans="1:8" x14ac:dyDescent="0.2">
      <c r="A49" s="139">
        <v>48</v>
      </c>
      <c r="B49" s="144">
        <f t="shared" si="0"/>
        <v>44849</v>
      </c>
      <c r="C49" s="141">
        <v>9606</v>
      </c>
      <c r="D49" s="142"/>
      <c r="E49" s="141">
        <v>179452.91666666666</v>
      </c>
      <c r="F49" s="143">
        <f t="shared" si="1"/>
        <v>18.681336317579291</v>
      </c>
      <c r="G49" s="141">
        <v>9188.4</v>
      </c>
      <c r="H49" s="141">
        <v>248432.63142857142</v>
      </c>
    </row>
    <row r="50" spans="1:8" x14ac:dyDescent="0.2">
      <c r="A50" s="139">
        <v>49</v>
      </c>
      <c r="B50" s="144">
        <f t="shared" si="0"/>
        <v>44856</v>
      </c>
      <c r="C50" s="141">
        <v>9903</v>
      </c>
      <c r="D50" s="142"/>
      <c r="E50" s="141">
        <v>184647.5</v>
      </c>
      <c r="F50" s="143">
        <f t="shared" si="1"/>
        <v>18.645612440674544</v>
      </c>
      <c r="G50" s="141">
        <v>5331.03</v>
      </c>
      <c r="H50" s="141">
        <v>249250.29571428569</v>
      </c>
    </row>
    <row r="51" spans="1:8" x14ac:dyDescent="0.2">
      <c r="A51" s="139">
        <v>50</v>
      </c>
      <c r="B51" s="144">
        <f t="shared" si="0"/>
        <v>44863</v>
      </c>
      <c r="C51" s="141">
        <v>10172</v>
      </c>
      <c r="D51" s="142"/>
      <c r="E51" s="141">
        <v>189363.75</v>
      </c>
      <c r="F51" s="143">
        <f t="shared" si="1"/>
        <v>18.6161767597326</v>
      </c>
      <c r="G51" s="141">
        <v>4011.25</v>
      </c>
      <c r="H51" s="141">
        <v>247394.4514285714</v>
      </c>
    </row>
    <row r="52" spans="1:8" x14ac:dyDescent="0.2">
      <c r="A52" s="139">
        <v>51</v>
      </c>
      <c r="B52" s="144">
        <f t="shared" si="0"/>
        <v>44870</v>
      </c>
      <c r="C52" s="141">
        <v>10426</v>
      </c>
      <c r="D52" s="142"/>
      <c r="E52" s="141">
        <v>193814.16666666666</v>
      </c>
      <c r="F52" s="143">
        <f t="shared" si="1"/>
        <v>18.589503804591086</v>
      </c>
      <c r="G52" s="141">
        <v>5223.6000000000004</v>
      </c>
      <c r="H52" s="141">
        <v>247088.70857142849</v>
      </c>
    </row>
    <row r="53" spans="1:8" x14ac:dyDescent="0.2">
      <c r="A53" s="139">
        <v>52</v>
      </c>
      <c r="B53" s="144">
        <f t="shared" si="0"/>
        <v>44877</v>
      </c>
      <c r="C53" s="141">
        <v>10613</v>
      </c>
      <c r="D53" s="142"/>
      <c r="E53" s="141">
        <v>196948.75</v>
      </c>
      <c r="F53" s="143">
        <f t="shared" si="1"/>
        <v>18.55731178743051</v>
      </c>
      <c r="G53" s="141">
        <v>3237.7799999999997</v>
      </c>
      <c r="H53" s="141">
        <v>247157.66999999995</v>
      </c>
    </row>
    <row r="54" spans="1:8" x14ac:dyDescent="0.2">
      <c r="A54" s="139">
        <v>53</v>
      </c>
      <c r="B54" s="144">
        <f t="shared" si="0"/>
        <v>44884</v>
      </c>
      <c r="C54" s="141">
        <v>10805</v>
      </c>
      <c r="D54" s="142">
        <f t="shared" ref="D54:D117" si="2">C54/C2</f>
        <v>1.2340109639104615</v>
      </c>
      <c r="E54" s="141">
        <v>200135.41666666666</v>
      </c>
      <c r="F54" s="143">
        <f t="shared" si="1"/>
        <v>18.522481875674842</v>
      </c>
      <c r="G54" s="141">
        <v>2361.25</v>
      </c>
      <c r="H54" s="141">
        <v>245546.26142857134</v>
      </c>
    </row>
    <row r="55" spans="1:8" x14ac:dyDescent="0.2">
      <c r="A55" s="139">
        <v>54</v>
      </c>
      <c r="B55" s="144">
        <f t="shared" si="0"/>
        <v>44891</v>
      </c>
      <c r="C55" s="141">
        <v>10937</v>
      </c>
      <c r="D55" s="142">
        <f t="shared" si="2"/>
        <v>1.2257088423176061</v>
      </c>
      <c r="E55" s="141">
        <v>202309.58333333334</v>
      </c>
      <c r="F55" s="143">
        <f t="shared" si="1"/>
        <v>18.497721800615647</v>
      </c>
      <c r="G55" s="141">
        <v>2094.16</v>
      </c>
      <c r="H55" s="141">
        <v>243979.56571428562</v>
      </c>
    </row>
    <row r="56" spans="1:8" x14ac:dyDescent="0.2">
      <c r="A56" s="139">
        <v>55</v>
      </c>
      <c r="B56" s="144">
        <f t="shared" si="0"/>
        <v>44898</v>
      </c>
      <c r="C56" s="141">
        <v>11047</v>
      </c>
      <c r="D56" s="142">
        <f t="shared" si="2"/>
        <v>1.224179964539007</v>
      </c>
      <c r="E56" s="141">
        <v>204510</v>
      </c>
      <c r="F56" s="143">
        <f t="shared" si="1"/>
        <v>18.512718385081921</v>
      </c>
      <c r="G56" s="141">
        <v>1675.06</v>
      </c>
      <c r="H56" s="141">
        <v>243008.36428571417</v>
      </c>
    </row>
    <row r="57" spans="1:8" x14ac:dyDescent="0.2">
      <c r="A57" s="139">
        <v>56</v>
      </c>
      <c r="B57" s="144">
        <f t="shared" si="0"/>
        <v>44905</v>
      </c>
      <c r="C57" s="141">
        <v>11118</v>
      </c>
      <c r="D57" s="142">
        <f t="shared" si="2"/>
        <v>1.2061184638750271</v>
      </c>
      <c r="E57" s="141">
        <v>205960</v>
      </c>
      <c r="F57" s="143">
        <f t="shared" si="1"/>
        <v>18.524914552977155</v>
      </c>
      <c r="G57" s="141">
        <v>1712.58</v>
      </c>
      <c r="H57" s="141">
        <v>242294.94714285698</v>
      </c>
    </row>
    <row r="58" spans="1:8" x14ac:dyDescent="0.2">
      <c r="A58" s="139">
        <v>57</v>
      </c>
      <c r="B58" s="144">
        <f t="shared" si="0"/>
        <v>44912</v>
      </c>
      <c r="C58" s="141">
        <v>11197</v>
      </c>
      <c r="D58" s="142">
        <f t="shared" si="2"/>
        <v>1.2080051785521631</v>
      </c>
      <c r="E58" s="141">
        <v>207707.91666666666</v>
      </c>
      <c r="F58" s="143">
        <f t="shared" si="1"/>
        <v>18.55031853770355</v>
      </c>
      <c r="G58" s="141">
        <v>1602.3</v>
      </c>
      <c r="H58" s="141">
        <v>242250.7257142856</v>
      </c>
    </row>
    <row r="59" spans="1:8" x14ac:dyDescent="0.2">
      <c r="A59" s="139">
        <v>58</v>
      </c>
      <c r="B59" s="144">
        <f t="shared" si="0"/>
        <v>44919</v>
      </c>
      <c r="C59" s="141">
        <v>11256</v>
      </c>
      <c r="D59" s="142">
        <f t="shared" si="2"/>
        <v>1.2078549200558</v>
      </c>
      <c r="E59" s="141">
        <v>209056.25</v>
      </c>
      <c r="F59" s="143">
        <f t="shared" si="1"/>
        <v>18.572872245913292</v>
      </c>
      <c r="G59" s="141">
        <v>1267.57</v>
      </c>
      <c r="H59" s="141">
        <v>242355.31285714271</v>
      </c>
    </row>
    <row r="60" spans="1:8" x14ac:dyDescent="0.2">
      <c r="A60" s="139">
        <v>59</v>
      </c>
      <c r="B60" s="144">
        <f t="shared" si="0"/>
        <v>44926</v>
      </c>
      <c r="C60" s="141">
        <v>11303</v>
      </c>
      <c r="D60" s="142">
        <f t="shared" si="2"/>
        <v>1.20758547008547</v>
      </c>
      <c r="E60" s="141">
        <v>210194.16666666666</v>
      </c>
      <c r="F60" s="143">
        <f t="shared" si="1"/>
        <v>18.596316612108879</v>
      </c>
      <c r="G60" s="141">
        <v>1185.8400000000001</v>
      </c>
      <c r="H60" s="141">
        <v>242760.86714285699</v>
      </c>
    </row>
    <row r="61" spans="1:8" x14ac:dyDescent="0.2">
      <c r="A61" s="139">
        <v>60</v>
      </c>
      <c r="B61" s="144">
        <f t="shared" si="0"/>
        <v>44933</v>
      </c>
      <c r="C61" s="141">
        <v>11418</v>
      </c>
      <c r="D61" s="142">
        <f t="shared" si="2"/>
        <v>1.2103031587873649</v>
      </c>
      <c r="E61" s="141">
        <v>212727.91666666666</v>
      </c>
      <c r="F61" s="143">
        <f t="shared" si="1"/>
        <v>18.630926315174868</v>
      </c>
      <c r="G61" s="141">
        <v>1999.27</v>
      </c>
      <c r="H61" s="141">
        <v>243667.11142857125</v>
      </c>
    </row>
    <row r="62" spans="1:8" x14ac:dyDescent="0.2">
      <c r="A62" s="139">
        <v>61</v>
      </c>
      <c r="B62" s="144">
        <f t="shared" si="0"/>
        <v>44940</v>
      </c>
      <c r="C62" s="141">
        <v>11547</v>
      </c>
      <c r="D62" s="142">
        <f t="shared" si="2"/>
        <v>1.2116474291710388</v>
      </c>
      <c r="E62" s="141">
        <v>215097.91666666666</v>
      </c>
      <c r="F62" s="143">
        <f t="shared" si="1"/>
        <v>18.628034698767355</v>
      </c>
      <c r="G62" s="141">
        <v>2745.35</v>
      </c>
      <c r="H62" s="141">
        <v>244687.65285714268</v>
      </c>
    </row>
    <row r="63" spans="1:8" x14ac:dyDescent="0.2">
      <c r="A63" s="139">
        <v>62</v>
      </c>
      <c r="B63" s="144">
        <f t="shared" si="0"/>
        <v>44947</v>
      </c>
      <c r="C63" s="141">
        <v>11691</v>
      </c>
      <c r="D63" s="142">
        <f t="shared" si="2"/>
        <v>1.2103737446940677</v>
      </c>
      <c r="E63" s="141">
        <v>217501.25</v>
      </c>
      <c r="F63" s="143">
        <f t="shared" si="1"/>
        <v>18.604161320674024</v>
      </c>
      <c r="G63" s="141">
        <v>2460.5500000000002</v>
      </c>
      <c r="H63" s="141">
        <v>245707.69428571407</v>
      </c>
    </row>
    <row r="64" spans="1:8" x14ac:dyDescent="0.2">
      <c r="A64" s="139">
        <v>63</v>
      </c>
      <c r="B64" s="144">
        <f t="shared" si="0"/>
        <v>44954</v>
      </c>
      <c r="C64" s="141">
        <v>11801</v>
      </c>
      <c r="D64" s="142">
        <f t="shared" si="2"/>
        <v>1.2073869449560057</v>
      </c>
      <c r="E64" s="141">
        <v>219568.33333333334</v>
      </c>
      <c r="F64" s="143">
        <f t="shared" si="1"/>
        <v>18.605909103748271</v>
      </c>
      <c r="G64" s="141">
        <v>2072.4300000000003</v>
      </c>
      <c r="H64" s="141">
        <v>245798.36428571414</v>
      </c>
    </row>
    <row r="65" spans="1:8" x14ac:dyDescent="0.2">
      <c r="A65" s="139">
        <v>64</v>
      </c>
      <c r="B65" s="144">
        <f t="shared" si="0"/>
        <v>44961</v>
      </c>
      <c r="C65" s="141">
        <v>11959</v>
      </c>
      <c r="D65" s="142">
        <f t="shared" si="2"/>
        <v>1.2060306575231949</v>
      </c>
      <c r="E65" s="141">
        <v>222666.25</v>
      </c>
      <c r="F65" s="143">
        <f t="shared" si="1"/>
        <v>18.619136215402627</v>
      </c>
      <c r="G65" s="141">
        <v>3580.14</v>
      </c>
      <c r="H65" s="141">
        <v>245787.65285714265</v>
      </c>
    </row>
    <row r="66" spans="1:8" x14ac:dyDescent="0.2">
      <c r="A66" s="139">
        <v>65</v>
      </c>
      <c r="B66" s="144">
        <f t="shared" si="0"/>
        <v>44968</v>
      </c>
      <c r="C66" s="141">
        <v>12086</v>
      </c>
      <c r="D66" s="142">
        <f t="shared" si="2"/>
        <v>1.2095676541232987</v>
      </c>
      <c r="E66" s="141">
        <v>225149.16666666666</v>
      </c>
      <c r="F66" s="143">
        <f t="shared" si="1"/>
        <v>18.628923272105464</v>
      </c>
      <c r="G66" s="141">
        <v>1684.58</v>
      </c>
      <c r="H66" s="141">
        <v>246419.30285714264</v>
      </c>
    </row>
    <row r="67" spans="1:8" x14ac:dyDescent="0.2">
      <c r="A67" s="139">
        <v>66</v>
      </c>
      <c r="B67" s="144">
        <f t="shared" ref="B67:B118" si="3">B66+7</f>
        <v>44975</v>
      </c>
      <c r="C67" s="141">
        <v>12185</v>
      </c>
      <c r="D67" s="142">
        <f t="shared" si="2"/>
        <v>1.2067940972566109</v>
      </c>
      <c r="E67" s="141">
        <v>226960.83333333334</v>
      </c>
      <c r="F67" s="143">
        <f t="shared" ref="F67:F119" si="4">E67/C67</f>
        <v>18.626248119272329</v>
      </c>
      <c r="G67" s="141">
        <v>1882.78</v>
      </c>
      <c r="H67" s="141">
        <v>246474.55714285691</v>
      </c>
    </row>
    <row r="68" spans="1:8" x14ac:dyDescent="0.2">
      <c r="A68" s="139">
        <v>67</v>
      </c>
      <c r="B68" s="144">
        <f t="shared" si="3"/>
        <v>44982</v>
      </c>
      <c r="C68" s="141">
        <v>12290</v>
      </c>
      <c r="D68" s="142">
        <f t="shared" si="2"/>
        <v>1.2054928886709171</v>
      </c>
      <c r="E68" s="141">
        <v>229071.66666666666</v>
      </c>
      <c r="F68" s="143">
        <f t="shared" si="4"/>
        <v>18.638866286954162</v>
      </c>
      <c r="G68" s="141">
        <v>1966.39</v>
      </c>
      <c r="H68" s="141">
        <v>246649.20428571408</v>
      </c>
    </row>
    <row r="69" spans="1:8" x14ac:dyDescent="0.2">
      <c r="A69" s="139">
        <v>68</v>
      </c>
      <c r="B69" s="144">
        <f t="shared" si="3"/>
        <v>44989</v>
      </c>
      <c r="C69" s="141">
        <v>12387</v>
      </c>
      <c r="D69" s="142">
        <f t="shared" si="2"/>
        <v>1.2109688141558315</v>
      </c>
      <c r="E69" s="141">
        <v>230937.08333333334</v>
      </c>
      <c r="F69" s="143">
        <f t="shared" si="4"/>
        <v>18.643503942305106</v>
      </c>
      <c r="G69" s="141">
        <v>1797.29</v>
      </c>
      <c r="H69" s="141">
        <v>246738.49999999977</v>
      </c>
    </row>
    <row r="70" spans="1:8" x14ac:dyDescent="0.2">
      <c r="A70" s="139">
        <v>69</v>
      </c>
      <c r="B70" s="144">
        <f t="shared" si="3"/>
        <v>44996</v>
      </c>
      <c r="C70" s="141">
        <v>12481</v>
      </c>
      <c r="D70" s="142">
        <f t="shared" si="2"/>
        <v>1.2129251700680272</v>
      </c>
      <c r="E70" s="141">
        <v>232706.66666666666</v>
      </c>
      <c r="F70" s="143">
        <f t="shared" si="4"/>
        <v>18.644873541115828</v>
      </c>
      <c r="G70" s="141">
        <v>1879.7400000000002</v>
      </c>
      <c r="H70" s="141">
        <v>247023.91142857118</v>
      </c>
    </row>
    <row r="71" spans="1:8" x14ac:dyDescent="0.2">
      <c r="A71" s="139">
        <v>70</v>
      </c>
      <c r="B71" s="144">
        <f t="shared" si="3"/>
        <v>45003</v>
      </c>
      <c r="C71" s="141">
        <v>12566</v>
      </c>
      <c r="D71" s="142">
        <f t="shared" si="2"/>
        <v>1.2001910219675263</v>
      </c>
      <c r="E71" s="141">
        <v>234310.41666666666</v>
      </c>
      <c r="F71" s="143">
        <f t="shared" si="4"/>
        <v>18.646380444585919</v>
      </c>
      <c r="G71" s="141">
        <v>1499.72</v>
      </c>
      <c r="H71" s="141">
        <v>247018.73857142829</v>
      </c>
    </row>
    <row r="72" spans="1:8" x14ac:dyDescent="0.2">
      <c r="A72" s="139">
        <v>71</v>
      </c>
      <c r="B72" s="144">
        <f t="shared" si="3"/>
        <v>45010</v>
      </c>
      <c r="C72" s="141">
        <v>12661</v>
      </c>
      <c r="D72" s="142">
        <f t="shared" si="2"/>
        <v>1.199753624561736</v>
      </c>
      <c r="E72" s="141">
        <v>236057.91666666666</v>
      </c>
      <c r="F72" s="143">
        <f t="shared" si="4"/>
        <v>18.644492272858908</v>
      </c>
      <c r="G72" s="141">
        <v>1755.21</v>
      </c>
      <c r="H72" s="141">
        <v>247097.48142857119</v>
      </c>
    </row>
    <row r="73" spans="1:8" x14ac:dyDescent="0.2">
      <c r="A73" s="139">
        <v>72</v>
      </c>
      <c r="B73" s="144">
        <f t="shared" si="3"/>
        <v>45017</v>
      </c>
      <c r="C73" s="141">
        <v>12756</v>
      </c>
      <c r="D73" s="142">
        <f t="shared" si="2"/>
        <v>1.202375341691017</v>
      </c>
      <c r="E73" s="141">
        <v>238010.83333333334</v>
      </c>
      <c r="F73" s="143">
        <f t="shared" si="4"/>
        <v>18.658735758335947</v>
      </c>
      <c r="G73" s="141">
        <v>1857.5</v>
      </c>
      <c r="H73" s="141">
        <v>247674.89857142832</v>
      </c>
    </row>
    <row r="74" spans="1:8" x14ac:dyDescent="0.2">
      <c r="A74" s="139">
        <v>73</v>
      </c>
      <c r="B74" s="144">
        <f t="shared" si="3"/>
        <v>45024</v>
      </c>
      <c r="C74" s="141">
        <v>12829</v>
      </c>
      <c r="D74" s="142">
        <f t="shared" si="2"/>
        <v>1.2015547438419032</v>
      </c>
      <c r="E74" s="141">
        <v>239518.75</v>
      </c>
      <c r="F74" s="143">
        <f t="shared" si="4"/>
        <v>18.670102891885573</v>
      </c>
      <c r="G74" s="141">
        <v>1471.6599999999999</v>
      </c>
      <c r="H74" s="141">
        <v>247585.78857142825</v>
      </c>
    </row>
    <row r="75" spans="1:8" x14ac:dyDescent="0.2">
      <c r="A75" s="139">
        <v>74</v>
      </c>
      <c r="B75" s="144">
        <f t="shared" si="3"/>
        <v>45031</v>
      </c>
      <c r="C75" s="141">
        <v>12900</v>
      </c>
      <c r="D75" s="142">
        <f t="shared" si="2"/>
        <v>1.1991076408254322</v>
      </c>
      <c r="E75" s="141">
        <v>240862.08333333334</v>
      </c>
      <c r="F75" s="143">
        <f t="shared" si="4"/>
        <v>18.671479328165375</v>
      </c>
      <c r="G75" s="141">
        <v>1381.25</v>
      </c>
      <c r="H75" s="141">
        <v>247508.2871428568</v>
      </c>
    </row>
    <row r="76" spans="1:8" x14ac:dyDescent="0.2">
      <c r="A76" s="139">
        <v>75</v>
      </c>
      <c r="B76" s="144">
        <f t="shared" si="3"/>
        <v>45038</v>
      </c>
      <c r="C76" s="141">
        <v>12948</v>
      </c>
      <c r="D76" s="142">
        <f t="shared" si="2"/>
        <v>1.1964516725189429</v>
      </c>
      <c r="E76" s="141">
        <v>241925.41666666666</v>
      </c>
      <c r="F76" s="143">
        <f t="shared" si="4"/>
        <v>18.684384975800636</v>
      </c>
      <c r="G76" s="141">
        <v>1340.35</v>
      </c>
      <c r="H76" s="141">
        <v>247786.40428571397</v>
      </c>
    </row>
    <row r="77" spans="1:8" x14ac:dyDescent="0.2">
      <c r="A77" s="139">
        <v>76</v>
      </c>
      <c r="B77" s="144">
        <f t="shared" si="3"/>
        <v>45045</v>
      </c>
      <c r="C77" s="141">
        <v>13054</v>
      </c>
      <c r="D77" s="142">
        <f t="shared" si="2"/>
        <v>1.1972851508759057</v>
      </c>
      <c r="E77" s="141">
        <v>244118.75</v>
      </c>
      <c r="F77" s="143">
        <f t="shared" si="4"/>
        <v>18.700685613605025</v>
      </c>
      <c r="G77" s="141">
        <v>1414.04</v>
      </c>
      <c r="H77" s="141">
        <v>247623.73428571396</v>
      </c>
    </row>
    <row r="78" spans="1:8" x14ac:dyDescent="0.2">
      <c r="A78" s="139">
        <v>77</v>
      </c>
      <c r="B78" s="144">
        <f t="shared" si="3"/>
        <v>45052</v>
      </c>
      <c r="C78" s="141">
        <v>13120</v>
      </c>
      <c r="D78" s="142">
        <f t="shared" si="2"/>
        <v>1.1957710535909587</v>
      </c>
      <c r="E78" s="141">
        <v>245576.66666666666</v>
      </c>
      <c r="F78" s="143">
        <f t="shared" si="4"/>
        <v>18.717733739837399</v>
      </c>
      <c r="G78" s="141">
        <v>1143.46</v>
      </c>
      <c r="H78" s="141">
        <v>247262.04285714246</v>
      </c>
    </row>
    <row r="79" spans="1:8" x14ac:dyDescent="0.2">
      <c r="A79" s="139">
        <v>78</v>
      </c>
      <c r="B79" s="144">
        <f t="shared" si="3"/>
        <v>45059</v>
      </c>
      <c r="C79" s="141">
        <v>13208</v>
      </c>
      <c r="D79" s="142">
        <f t="shared" si="2"/>
        <v>1.1989832970225127</v>
      </c>
      <c r="E79" s="141">
        <v>247366.25</v>
      </c>
      <c r="F79" s="143">
        <f t="shared" si="4"/>
        <v>18.728516807995156</v>
      </c>
      <c r="G79" s="141">
        <v>1559.3</v>
      </c>
      <c r="H79" s="141">
        <v>247402.90857142821</v>
      </c>
    </row>
    <row r="80" spans="1:8" x14ac:dyDescent="0.2">
      <c r="A80" s="139">
        <v>79</v>
      </c>
      <c r="B80" s="144">
        <f t="shared" si="3"/>
        <v>45066</v>
      </c>
      <c r="C80" s="141">
        <v>13292</v>
      </c>
      <c r="D80" s="142">
        <f t="shared" si="2"/>
        <v>1.2005057803468209</v>
      </c>
      <c r="E80" s="141">
        <v>248930</v>
      </c>
      <c r="F80" s="143">
        <f t="shared" si="4"/>
        <v>18.727806199217575</v>
      </c>
      <c r="G80" s="141">
        <v>1495.2199999999998</v>
      </c>
      <c r="H80" s="141">
        <v>248014.28428571395</v>
      </c>
    </row>
    <row r="81" spans="1:9" x14ac:dyDescent="0.2">
      <c r="A81" s="139">
        <v>80</v>
      </c>
      <c r="B81" s="144">
        <f t="shared" si="3"/>
        <v>45073</v>
      </c>
      <c r="C81" s="141">
        <v>13325</v>
      </c>
      <c r="D81" s="142">
        <f t="shared" si="2"/>
        <v>1.1982913669064748</v>
      </c>
      <c r="E81" s="141">
        <v>249792.08333333334</v>
      </c>
      <c r="F81" s="143">
        <f t="shared" si="4"/>
        <v>18.746122576610382</v>
      </c>
      <c r="G81" s="141">
        <v>445.40999999999997</v>
      </c>
      <c r="H81" s="141">
        <v>247853.92714285679</v>
      </c>
    </row>
    <row r="82" spans="1:9" x14ac:dyDescent="0.2">
      <c r="A82" s="139">
        <v>81</v>
      </c>
      <c r="B82" s="144">
        <f t="shared" si="3"/>
        <v>45080</v>
      </c>
      <c r="C82" s="141">
        <v>13387</v>
      </c>
      <c r="D82" s="142">
        <f t="shared" si="2"/>
        <v>1.198156269578448</v>
      </c>
      <c r="E82" s="141">
        <v>251052.5</v>
      </c>
      <c r="F82" s="143">
        <f t="shared" si="4"/>
        <v>18.753454844251888</v>
      </c>
      <c r="G82" s="141">
        <v>1110.4900000000002</v>
      </c>
      <c r="H82" s="141">
        <v>247448.32714285675</v>
      </c>
      <c r="I82" s="139" t="s">
        <v>362</v>
      </c>
    </row>
    <row r="83" spans="1:9" x14ac:dyDescent="0.2">
      <c r="A83" s="139">
        <v>82</v>
      </c>
      <c r="B83" s="144">
        <f t="shared" si="3"/>
        <v>45087</v>
      </c>
      <c r="C83" s="141">
        <v>13474</v>
      </c>
      <c r="D83" s="142">
        <f t="shared" si="2"/>
        <v>1.1996082621082622</v>
      </c>
      <c r="E83" s="141">
        <v>252640</v>
      </c>
      <c r="F83" s="143">
        <f t="shared" si="4"/>
        <v>18.750185542526346</v>
      </c>
      <c r="G83" s="141">
        <v>1928.33</v>
      </c>
      <c r="H83" s="141">
        <v>247935.0114285711</v>
      </c>
    </row>
    <row r="84" spans="1:9" x14ac:dyDescent="0.2">
      <c r="A84" s="139">
        <v>83</v>
      </c>
      <c r="B84" s="144">
        <f t="shared" si="3"/>
        <v>45094</v>
      </c>
      <c r="C84" s="141">
        <v>13561</v>
      </c>
      <c r="D84" s="142">
        <f t="shared" si="2"/>
        <v>1.2016836508639788</v>
      </c>
      <c r="E84" s="141">
        <v>254327.91666666666</v>
      </c>
      <c r="F84" s="143">
        <f t="shared" si="4"/>
        <v>18.754363001745201</v>
      </c>
      <c r="G84" s="141">
        <v>1476.46</v>
      </c>
      <c r="H84" s="141">
        <v>248606.34999999963</v>
      </c>
    </row>
    <row r="85" spans="1:9" x14ac:dyDescent="0.2">
      <c r="A85" s="139">
        <v>84</v>
      </c>
      <c r="B85" s="144">
        <f t="shared" si="3"/>
        <v>45101</v>
      </c>
      <c r="C85" s="141">
        <v>13641</v>
      </c>
      <c r="D85" s="142">
        <f t="shared" si="2"/>
        <v>1.2020620373634121</v>
      </c>
      <c r="E85" s="141">
        <v>255956.25</v>
      </c>
      <c r="F85" s="143">
        <f t="shared" si="4"/>
        <v>18.76374532658896</v>
      </c>
      <c r="G85" s="141">
        <v>1080.2199999999998</v>
      </c>
      <c r="H85" s="141">
        <v>249135.85142857101</v>
      </c>
    </row>
    <row r="86" spans="1:9" x14ac:dyDescent="0.2">
      <c r="A86" s="139">
        <v>85</v>
      </c>
      <c r="B86" s="144">
        <f t="shared" si="3"/>
        <v>45108</v>
      </c>
      <c r="C86" s="141">
        <v>13711</v>
      </c>
      <c r="D86" s="142">
        <f t="shared" si="2"/>
        <v>1.202297439494914</v>
      </c>
      <c r="E86" s="141">
        <v>257354.16666666666</v>
      </c>
      <c r="F86" s="143">
        <f t="shared" si="4"/>
        <v>18.769904942503587</v>
      </c>
      <c r="G86" s="141">
        <v>1556.94</v>
      </c>
      <c r="H86" s="141">
        <v>249335.61999999959</v>
      </c>
    </row>
    <row r="87" spans="1:9" x14ac:dyDescent="0.2">
      <c r="A87" s="139">
        <v>86</v>
      </c>
      <c r="B87" s="144">
        <f t="shared" si="3"/>
        <v>45115</v>
      </c>
      <c r="C87" s="141">
        <v>13776</v>
      </c>
      <c r="D87" s="142">
        <f t="shared" si="2"/>
        <v>1.2004182642035552</v>
      </c>
      <c r="E87" s="141">
        <v>259048.33333333334</v>
      </c>
      <c r="F87" s="143">
        <f t="shared" si="4"/>
        <v>18.804321525358112</v>
      </c>
      <c r="G87" s="141">
        <v>1557.08</v>
      </c>
      <c r="H87" s="141">
        <v>248798.04571428537</v>
      </c>
    </row>
    <row r="88" spans="1:9" x14ac:dyDescent="0.2">
      <c r="A88" s="139">
        <v>87</v>
      </c>
      <c r="B88" s="144">
        <f t="shared" si="3"/>
        <v>45122</v>
      </c>
      <c r="C88" s="141">
        <v>13811</v>
      </c>
      <c r="D88" s="142">
        <f t="shared" si="2"/>
        <v>1.1632274909458435</v>
      </c>
      <c r="E88" s="141">
        <v>259807.5</v>
      </c>
      <c r="F88" s="143">
        <f t="shared" si="4"/>
        <v>18.81163565274057</v>
      </c>
      <c r="G88" s="141">
        <v>937.5</v>
      </c>
      <c r="H88" s="141">
        <v>248175.8499999996</v>
      </c>
    </row>
    <row r="89" spans="1:9" x14ac:dyDescent="0.2">
      <c r="A89" s="139">
        <v>88</v>
      </c>
      <c r="B89" s="144">
        <f t="shared" si="3"/>
        <v>45129</v>
      </c>
      <c r="C89" s="141">
        <v>13854</v>
      </c>
      <c r="D89" s="142">
        <f t="shared" si="2"/>
        <v>1.1640060494034616</v>
      </c>
      <c r="E89" s="141">
        <v>261081.25</v>
      </c>
      <c r="F89" s="143">
        <f t="shared" si="4"/>
        <v>18.845189115057025</v>
      </c>
      <c r="G89" s="141">
        <v>1282.8500000000001</v>
      </c>
      <c r="H89" s="141">
        <v>247137.72285714239</v>
      </c>
    </row>
    <row r="90" spans="1:9" x14ac:dyDescent="0.2">
      <c r="A90" s="139">
        <v>89</v>
      </c>
      <c r="B90" s="144">
        <f t="shared" si="3"/>
        <v>45136</v>
      </c>
      <c r="C90" s="141">
        <v>13909</v>
      </c>
      <c r="D90" s="142">
        <f t="shared" si="2"/>
        <v>1.1650054443420721</v>
      </c>
      <c r="E90" s="141">
        <v>262331.66666666669</v>
      </c>
      <c r="F90" s="143">
        <f t="shared" si="4"/>
        <v>18.860569894792341</v>
      </c>
      <c r="G90" s="141">
        <v>1137.6399999999999</v>
      </c>
      <c r="H90" s="141">
        <v>246946.06428571386</v>
      </c>
    </row>
    <row r="91" spans="1:9" x14ac:dyDescent="0.2">
      <c r="A91" s="139">
        <v>90</v>
      </c>
      <c r="B91" s="144">
        <f t="shared" si="3"/>
        <v>45143</v>
      </c>
      <c r="C91" s="141">
        <v>13962</v>
      </c>
      <c r="D91" s="142">
        <f t="shared" si="2"/>
        <v>1.1661237785016287</v>
      </c>
      <c r="E91" s="141">
        <v>263619.16666666669</v>
      </c>
      <c r="F91" s="143">
        <f t="shared" si="4"/>
        <v>18.881189418898916</v>
      </c>
      <c r="G91" s="141">
        <v>2114.58</v>
      </c>
      <c r="H91" s="141">
        <v>246292.92999999961</v>
      </c>
    </row>
    <row r="92" spans="1:9" x14ac:dyDescent="0.2">
      <c r="A92" s="139">
        <v>91</v>
      </c>
      <c r="B92" s="144">
        <f t="shared" si="3"/>
        <v>45150</v>
      </c>
      <c r="C92" s="141">
        <v>14017</v>
      </c>
      <c r="D92" s="142">
        <f t="shared" si="2"/>
        <v>1.1646863315330287</v>
      </c>
      <c r="E92" s="141">
        <v>264710.83333333331</v>
      </c>
      <c r="F92" s="143">
        <f t="shared" si="4"/>
        <v>18.884984899288956</v>
      </c>
      <c r="G92" s="141">
        <v>3297.2799999999997</v>
      </c>
      <c r="H92" s="141">
        <v>245430.96571428535</v>
      </c>
    </row>
    <row r="93" spans="1:9" x14ac:dyDescent="0.2">
      <c r="A93" s="139">
        <v>92</v>
      </c>
      <c r="B93" s="144">
        <f t="shared" si="3"/>
        <v>45157</v>
      </c>
      <c r="C93" s="141">
        <v>14073</v>
      </c>
      <c r="D93" s="142">
        <f t="shared" si="2"/>
        <v>1.1574142610412042</v>
      </c>
      <c r="E93" s="141">
        <v>265877.91666666669</v>
      </c>
      <c r="F93" s="143">
        <f t="shared" si="4"/>
        <v>18.892767474359886</v>
      </c>
      <c r="G93" s="141">
        <v>14930.14</v>
      </c>
      <c r="H93" s="141">
        <v>244317.65999999954</v>
      </c>
    </row>
    <row r="94" spans="1:9" x14ac:dyDescent="0.2">
      <c r="A94" s="139">
        <v>93</v>
      </c>
      <c r="B94" s="144">
        <f t="shared" si="3"/>
        <v>45164</v>
      </c>
      <c r="C94" s="141">
        <v>14159</v>
      </c>
      <c r="D94" s="142">
        <f t="shared" si="2"/>
        <v>1.1543290396217185</v>
      </c>
      <c r="E94" s="141">
        <v>267572.08333333331</v>
      </c>
      <c r="F94" s="143">
        <f t="shared" si="4"/>
        <v>18.897668149822255</v>
      </c>
      <c r="G94" s="141">
        <v>21712.370000000003</v>
      </c>
      <c r="H94" s="141">
        <v>244380.23285714249</v>
      </c>
      <c r="I94" s="139" t="s">
        <v>363</v>
      </c>
    </row>
    <row r="95" spans="1:9" x14ac:dyDescent="0.2">
      <c r="A95" s="139">
        <v>94</v>
      </c>
      <c r="B95" s="144">
        <f t="shared" si="3"/>
        <v>45171</v>
      </c>
      <c r="C95" s="145">
        <v>8000</v>
      </c>
      <c r="D95" s="142">
        <f t="shared" si="2"/>
        <v>1.3162224415926291</v>
      </c>
      <c r="E95" s="141">
        <f>8000*18.9</f>
        <v>151200</v>
      </c>
      <c r="F95" s="143">
        <f t="shared" si="4"/>
        <v>18.899999999999999</v>
      </c>
      <c r="G95" s="141">
        <v>58743.31</v>
      </c>
      <c r="H95" s="141">
        <v>246177.26999999976</v>
      </c>
    </row>
    <row r="96" spans="1:9" x14ac:dyDescent="0.2">
      <c r="A96" s="139">
        <v>95</v>
      </c>
      <c r="B96" s="144">
        <f t="shared" si="3"/>
        <v>45178</v>
      </c>
      <c r="C96" s="145">
        <v>11688</v>
      </c>
      <c r="D96" s="142">
        <f t="shared" si="2"/>
        <v>1.6287625418060201</v>
      </c>
      <c r="E96" s="141">
        <v>226758.33333333334</v>
      </c>
      <c r="F96" s="143">
        <f t="shared" si="4"/>
        <v>19.40095254391969</v>
      </c>
      <c r="G96" s="141">
        <v>26380.01</v>
      </c>
      <c r="H96" s="141">
        <v>249129.67142857148</v>
      </c>
    </row>
    <row r="97" spans="1:8" x14ac:dyDescent="0.2">
      <c r="A97" s="139">
        <v>96</v>
      </c>
      <c r="B97" s="144">
        <f t="shared" si="3"/>
        <v>45185</v>
      </c>
      <c r="C97" s="141">
        <v>12070</v>
      </c>
      <c r="D97" s="142">
        <f t="shared" si="2"/>
        <v>1.5610450077599587</v>
      </c>
      <c r="E97" s="141">
        <v>233597.08333333334</v>
      </c>
      <c r="F97" s="143">
        <f t="shared" si="4"/>
        <v>19.353528030930683</v>
      </c>
      <c r="G97" s="141">
        <v>7787.92</v>
      </c>
      <c r="H97" s="141">
        <v>248952.03428571441</v>
      </c>
    </row>
    <row r="98" spans="1:8" x14ac:dyDescent="0.2">
      <c r="A98" s="139">
        <v>97</v>
      </c>
      <c r="B98" s="144">
        <f t="shared" si="3"/>
        <v>45192</v>
      </c>
      <c r="C98" s="141">
        <v>12417</v>
      </c>
      <c r="D98" s="142">
        <f t="shared" si="2"/>
        <v>1.5194566813509545</v>
      </c>
      <c r="E98" s="141">
        <v>239952.5</v>
      </c>
      <c r="F98" s="143">
        <f t="shared" si="4"/>
        <v>19.324514778126762</v>
      </c>
      <c r="G98" s="141">
        <v>6788.33</v>
      </c>
      <c r="H98" s="141">
        <v>247059.78428571436</v>
      </c>
    </row>
    <row r="99" spans="1:8" x14ac:dyDescent="0.2">
      <c r="A99" s="139">
        <v>98</v>
      </c>
      <c r="B99" s="144">
        <f t="shared" si="3"/>
        <v>45199</v>
      </c>
      <c r="C99" s="141">
        <v>12741</v>
      </c>
      <c r="D99" s="142">
        <f t="shared" si="2"/>
        <v>1.4622977160564674</v>
      </c>
      <c r="E99" s="141">
        <v>245945.41666666666</v>
      </c>
      <c r="F99" s="143">
        <f t="shared" si="4"/>
        <v>19.303462574889462</v>
      </c>
      <c r="G99" s="141">
        <v>7893.81</v>
      </c>
      <c r="H99" s="141">
        <v>245817.55571428579</v>
      </c>
    </row>
    <row r="100" spans="1:8" x14ac:dyDescent="0.2">
      <c r="A100" s="139">
        <v>99</v>
      </c>
      <c r="B100" s="144">
        <f t="shared" si="3"/>
        <v>45206</v>
      </c>
      <c r="C100" s="141">
        <v>12123</v>
      </c>
      <c r="D100" s="142">
        <f t="shared" si="2"/>
        <v>1.3142888117953166</v>
      </c>
      <c r="E100" s="141">
        <v>235380.83333333334</v>
      </c>
      <c r="F100" s="143">
        <f t="shared" si="4"/>
        <v>19.41605488190492</v>
      </c>
      <c r="G100" s="141">
        <v>8697.5</v>
      </c>
      <c r="H100" s="141">
        <v>246518.07285714289</v>
      </c>
    </row>
    <row r="101" spans="1:8" x14ac:dyDescent="0.2">
      <c r="A101" s="139">
        <v>100</v>
      </c>
      <c r="B101" s="144">
        <f t="shared" si="3"/>
        <v>45213</v>
      </c>
      <c r="C101" s="141">
        <v>12404</v>
      </c>
      <c r="D101" s="142">
        <f t="shared" si="2"/>
        <v>1.291276285654799</v>
      </c>
      <c r="E101" s="141">
        <v>240738.75</v>
      </c>
      <c r="F101" s="143">
        <f t="shared" si="4"/>
        <v>19.408154627539503</v>
      </c>
      <c r="G101" s="141">
        <v>5547.44</v>
      </c>
      <c r="H101" s="141">
        <v>245156.74857142864</v>
      </c>
    </row>
    <row r="102" spans="1:8" x14ac:dyDescent="0.2">
      <c r="A102" s="139">
        <v>101</v>
      </c>
      <c r="B102" s="144">
        <f t="shared" si="3"/>
        <v>45220</v>
      </c>
      <c r="C102" s="141">
        <v>12643</v>
      </c>
      <c r="D102" s="142">
        <f t="shared" si="2"/>
        <v>1.2766838331818642</v>
      </c>
      <c r="E102" s="141">
        <v>244011.66666666666</v>
      </c>
      <c r="F102" s="143">
        <f t="shared" si="4"/>
        <v>19.30013973476759</v>
      </c>
      <c r="G102" s="141">
        <v>4356.32</v>
      </c>
      <c r="H102" s="141">
        <v>243112.77000000002</v>
      </c>
    </row>
    <row r="103" spans="1:8" x14ac:dyDescent="0.2">
      <c r="A103" s="139">
        <v>102</v>
      </c>
      <c r="B103" s="144">
        <f t="shared" si="3"/>
        <v>45227</v>
      </c>
      <c r="C103" s="141">
        <v>12855</v>
      </c>
      <c r="D103" s="142">
        <f t="shared" si="2"/>
        <v>1.2637632717263074</v>
      </c>
      <c r="E103" s="141">
        <v>248775</v>
      </c>
      <c r="F103" s="143">
        <f t="shared" si="4"/>
        <v>19.352392065344223</v>
      </c>
      <c r="G103" s="141">
        <v>3597.09</v>
      </c>
      <c r="H103" s="141">
        <v>242311.03999999995</v>
      </c>
    </row>
    <row r="104" spans="1:8" x14ac:dyDescent="0.2">
      <c r="A104" s="139">
        <v>103</v>
      </c>
      <c r="B104" s="144">
        <f t="shared" si="3"/>
        <v>45234</v>
      </c>
      <c r="C104" s="141">
        <v>12557</v>
      </c>
      <c r="D104" s="142">
        <f t="shared" si="2"/>
        <v>1.2043928639938615</v>
      </c>
      <c r="E104" s="141">
        <v>237445.83333333334</v>
      </c>
      <c r="F104" s="143">
        <f t="shared" si="4"/>
        <v>18.909439621990391</v>
      </c>
      <c r="G104" s="141">
        <v>4633.0599999999995</v>
      </c>
      <c r="H104" s="141">
        <v>242220.35714285707</v>
      </c>
    </row>
    <row r="105" spans="1:8" x14ac:dyDescent="0.2">
      <c r="A105" s="139">
        <v>104</v>
      </c>
      <c r="B105" s="144">
        <f t="shared" si="3"/>
        <v>45241</v>
      </c>
      <c r="C105" s="145">
        <v>12767</v>
      </c>
      <c r="D105" s="142">
        <f t="shared" si="2"/>
        <v>1.2029586356355413</v>
      </c>
      <c r="E105" s="141">
        <v>241019.58333333334</v>
      </c>
      <c r="F105" s="143">
        <f t="shared" si="4"/>
        <v>18.878325631184566</v>
      </c>
      <c r="G105" s="141">
        <v>5604.45</v>
      </c>
      <c r="H105" s="141">
        <v>243212.14428571425</v>
      </c>
    </row>
    <row r="106" spans="1:8" x14ac:dyDescent="0.2">
      <c r="A106" s="139">
        <v>105</v>
      </c>
      <c r="B106" s="144">
        <f t="shared" si="3"/>
        <v>45248</v>
      </c>
      <c r="C106" s="145">
        <v>12956</v>
      </c>
      <c r="D106" s="142">
        <f t="shared" si="2"/>
        <v>1.1990745025451179</v>
      </c>
      <c r="E106" s="141">
        <v>243876.66666666666</v>
      </c>
      <c r="F106" s="143">
        <f t="shared" si="4"/>
        <v>18.823453740866523</v>
      </c>
      <c r="G106" s="141">
        <v>4026.95</v>
      </c>
      <c r="H106" s="141">
        <v>244754.64999999997</v>
      </c>
    </row>
    <row r="107" spans="1:8" x14ac:dyDescent="0.2">
      <c r="A107" s="139">
        <v>106</v>
      </c>
      <c r="B107" s="144">
        <f t="shared" si="3"/>
        <v>45255</v>
      </c>
      <c r="C107" s="141">
        <v>13105</v>
      </c>
      <c r="D107" s="142">
        <f t="shared" si="2"/>
        <v>1.1982262046264973</v>
      </c>
      <c r="E107" s="141">
        <v>246164.58333333334</v>
      </c>
      <c r="F107" s="143">
        <f t="shared" si="4"/>
        <v>18.784020094111664</v>
      </c>
      <c r="G107" s="141">
        <v>1718.47</v>
      </c>
      <c r="H107" s="141">
        <v>245050.30714285714</v>
      </c>
    </row>
    <row r="108" spans="1:8" x14ac:dyDescent="0.2">
      <c r="A108" s="139">
        <v>107</v>
      </c>
      <c r="B108" s="144">
        <f t="shared" si="3"/>
        <v>45262</v>
      </c>
      <c r="C108" s="141">
        <v>13004</v>
      </c>
      <c r="D108" s="142">
        <f t="shared" si="2"/>
        <v>1.1771521680094144</v>
      </c>
      <c r="E108" s="141">
        <v>243295</v>
      </c>
      <c r="F108" s="143">
        <f t="shared" si="4"/>
        <v>18.709243309750846</v>
      </c>
      <c r="G108" s="141">
        <v>2011.24</v>
      </c>
      <c r="H108" s="141">
        <v>245108</v>
      </c>
    </row>
    <row r="109" spans="1:8" x14ac:dyDescent="0.2">
      <c r="A109" s="139">
        <v>108</v>
      </c>
      <c r="B109" s="144">
        <f t="shared" si="3"/>
        <v>45269</v>
      </c>
      <c r="C109" s="141">
        <v>13150</v>
      </c>
      <c r="D109" s="142">
        <f t="shared" si="2"/>
        <v>1.1827666846555136</v>
      </c>
      <c r="E109" s="141">
        <v>245678.33333333334</v>
      </c>
      <c r="F109" s="143">
        <f t="shared" si="4"/>
        <v>18.682762991128012</v>
      </c>
      <c r="G109" s="141">
        <v>4269.1000000000004</v>
      </c>
      <c r="H109" s="141">
        <v>247985</v>
      </c>
    </row>
    <row r="110" spans="1:8" x14ac:dyDescent="0.2">
      <c r="A110" s="139">
        <v>109</v>
      </c>
      <c r="B110" s="144">
        <f t="shared" si="3"/>
        <v>45276</v>
      </c>
      <c r="C110" s="141">
        <v>13250</v>
      </c>
      <c r="D110" s="142">
        <f t="shared" si="2"/>
        <v>1.1833526837545771</v>
      </c>
      <c r="E110" s="141">
        <v>247354.58333333334</v>
      </c>
      <c r="F110" s="143">
        <f t="shared" si="4"/>
        <v>18.668270440251572</v>
      </c>
      <c r="G110" s="141">
        <v>2010.42</v>
      </c>
      <c r="H110" s="141">
        <v>248072</v>
      </c>
    </row>
    <row r="111" spans="1:8" x14ac:dyDescent="0.2">
      <c r="A111" s="139">
        <v>110</v>
      </c>
      <c r="B111" s="144">
        <f t="shared" si="3"/>
        <v>45283</v>
      </c>
      <c r="C111" s="141">
        <v>13363</v>
      </c>
      <c r="D111" s="142">
        <f t="shared" si="2"/>
        <v>1.1871890547263682</v>
      </c>
      <c r="E111" s="141">
        <v>249087.08333333334</v>
      </c>
      <c r="F111" s="143">
        <f t="shared" si="4"/>
        <v>18.640057122901545</v>
      </c>
      <c r="G111" s="141">
        <v>1460.69</v>
      </c>
      <c r="H111" s="141">
        <v>248265</v>
      </c>
    </row>
    <row r="112" spans="1:8" x14ac:dyDescent="0.2">
      <c r="A112" s="139">
        <v>111</v>
      </c>
      <c r="B112" s="144">
        <f t="shared" si="3"/>
        <v>45290</v>
      </c>
      <c r="C112" s="141">
        <v>13410</v>
      </c>
      <c r="D112" s="142">
        <f t="shared" si="2"/>
        <v>1.1864106874281164</v>
      </c>
      <c r="E112" s="141">
        <v>249939.58333333334</v>
      </c>
      <c r="F112" s="143">
        <f t="shared" si="4"/>
        <v>18.638298533432764</v>
      </c>
      <c r="G112" s="141">
        <v>1206.04</v>
      </c>
      <c r="H112" s="141">
        <v>248286</v>
      </c>
    </row>
    <row r="113" spans="1:9" x14ac:dyDescent="0.2">
      <c r="A113" s="139">
        <v>112</v>
      </c>
      <c r="B113" s="144">
        <f t="shared" si="3"/>
        <v>45297</v>
      </c>
      <c r="C113" s="141">
        <v>13112</v>
      </c>
      <c r="D113" s="142">
        <f t="shared" si="2"/>
        <v>1.1483622350674374</v>
      </c>
      <c r="E113" s="141">
        <v>244133.75</v>
      </c>
      <c r="F113" s="143">
        <f t="shared" si="4"/>
        <v>18.619108450274556</v>
      </c>
    </row>
    <row r="114" spans="1:9" x14ac:dyDescent="0.2">
      <c r="A114" s="139">
        <v>113</v>
      </c>
      <c r="B114" s="144">
        <f t="shared" si="3"/>
        <v>45304</v>
      </c>
      <c r="C114" s="141">
        <v>13288</v>
      </c>
      <c r="D114" s="142">
        <f t="shared" si="2"/>
        <v>1.1507750930977743</v>
      </c>
      <c r="E114" s="141">
        <v>246523.75</v>
      </c>
      <c r="F114" s="143">
        <f t="shared" si="4"/>
        <v>18.55235927152318</v>
      </c>
    </row>
    <row r="115" spans="1:9" x14ac:dyDescent="0.2">
      <c r="A115" s="139">
        <v>114</v>
      </c>
      <c r="B115" s="144">
        <f t="shared" si="3"/>
        <v>45311</v>
      </c>
      <c r="C115" s="141">
        <v>13440</v>
      </c>
      <c r="D115" s="142">
        <f t="shared" si="2"/>
        <v>1.1496022581472929</v>
      </c>
      <c r="E115" s="141">
        <v>248735.41666666666</v>
      </c>
      <c r="F115" s="143">
        <f t="shared" si="4"/>
        <v>18.507099454365079</v>
      </c>
    </row>
    <row r="116" spans="1:9" x14ac:dyDescent="0.2">
      <c r="A116" s="139">
        <v>115</v>
      </c>
      <c r="B116" s="144">
        <f t="shared" si="3"/>
        <v>45318</v>
      </c>
      <c r="C116" s="141">
        <v>13619</v>
      </c>
      <c r="D116" s="142">
        <f t="shared" si="2"/>
        <v>1.1540547411236335</v>
      </c>
      <c r="E116" s="141">
        <v>251566.66666666666</v>
      </c>
      <c r="F116" s="143">
        <f t="shared" si="4"/>
        <v>18.471742908191985</v>
      </c>
    </row>
    <row r="117" spans="1:9" x14ac:dyDescent="0.2">
      <c r="A117" s="139">
        <v>116</v>
      </c>
      <c r="B117" s="144">
        <f t="shared" si="3"/>
        <v>45325</v>
      </c>
      <c r="C117" s="141">
        <v>13619</v>
      </c>
      <c r="D117" s="142">
        <f t="shared" si="2"/>
        <v>1.1388075926080776</v>
      </c>
      <c r="E117" s="141">
        <v>251566.66666666666</v>
      </c>
      <c r="F117" s="143">
        <f t="shared" si="4"/>
        <v>18.471742908191985</v>
      </c>
    </row>
    <row r="118" spans="1:9" x14ac:dyDescent="0.2">
      <c r="A118" s="139">
        <v>117</v>
      </c>
      <c r="B118" s="144">
        <f t="shared" si="3"/>
        <v>45332</v>
      </c>
      <c r="C118" s="141">
        <v>13620</v>
      </c>
      <c r="D118" s="142">
        <f t="shared" ref="D118:D119" si="5">C118/C66</f>
        <v>1.1269237133873904</v>
      </c>
      <c r="E118" s="141">
        <v>250248.75</v>
      </c>
      <c r="F118" s="143">
        <f t="shared" si="4"/>
        <v>18.37362334801762</v>
      </c>
    </row>
    <row r="119" spans="1:9" x14ac:dyDescent="0.2">
      <c r="A119" s="139">
        <v>118</v>
      </c>
      <c r="B119" s="144">
        <v>45339</v>
      </c>
      <c r="C119" s="141">
        <v>13778</v>
      </c>
      <c r="D119" s="142">
        <f t="shared" si="5"/>
        <v>1.1307345096430037</v>
      </c>
      <c r="E119" s="141">
        <v>252982.5</v>
      </c>
      <c r="F119" s="143">
        <f t="shared" si="4"/>
        <v>18.361336913920745</v>
      </c>
      <c r="I119" s="139" t="s">
        <v>364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2213-F879-4196-B0C7-2D2C73BD595C}">
  <dimension ref="A1:I82"/>
  <sheetViews>
    <sheetView workbookViewId="0">
      <selection activeCell="A46" sqref="A46"/>
    </sheetView>
  </sheetViews>
  <sheetFormatPr defaultRowHeight="20.100000000000001" customHeight="1" x14ac:dyDescent="0.2"/>
  <cols>
    <col min="1" max="1" width="157.7109375" bestFit="1" customWidth="1"/>
  </cols>
  <sheetData>
    <row r="1" spans="1:1" ht="20.100000000000001" customHeight="1" x14ac:dyDescent="0.2">
      <c r="A1" s="13" t="s">
        <v>504</v>
      </c>
    </row>
    <row r="3" spans="1:1" ht="20.100000000000001" customHeight="1" x14ac:dyDescent="0.2">
      <c r="A3" s="13" t="s">
        <v>505</v>
      </c>
    </row>
    <row r="4" spans="1:1" ht="20.100000000000001" customHeight="1" x14ac:dyDescent="0.2">
      <c r="A4" s="13" t="s">
        <v>506</v>
      </c>
    </row>
    <row r="5" spans="1:1" ht="20.100000000000001" customHeight="1" x14ac:dyDescent="0.2">
      <c r="A5" s="13" t="s">
        <v>507</v>
      </c>
    </row>
    <row r="7" spans="1:1" ht="20.100000000000001" customHeight="1" x14ac:dyDescent="0.2">
      <c r="A7" s="13" t="s">
        <v>139</v>
      </c>
    </row>
    <row r="9" spans="1:1" ht="20.100000000000001" customHeight="1" x14ac:dyDescent="0.2">
      <c r="A9" s="187" t="s">
        <v>523</v>
      </c>
    </row>
    <row r="11" spans="1:1" ht="20.100000000000001" customHeight="1" x14ac:dyDescent="0.2">
      <c r="A11" s="187" t="s">
        <v>524</v>
      </c>
    </row>
    <row r="13" spans="1:1" ht="20.100000000000001" customHeight="1" x14ac:dyDescent="0.2">
      <c r="A13" s="187" t="s">
        <v>525</v>
      </c>
    </row>
    <row r="15" spans="1:1" ht="20.100000000000001" customHeight="1" x14ac:dyDescent="0.2">
      <c r="A15" s="187" t="s">
        <v>526</v>
      </c>
    </row>
    <row r="17" spans="1:9" ht="20.100000000000001" customHeight="1" x14ac:dyDescent="0.2">
      <c r="A17" s="187" t="s">
        <v>527</v>
      </c>
    </row>
    <row r="19" spans="1:9" ht="20.100000000000001" customHeight="1" x14ac:dyDescent="0.2">
      <c r="A19" s="187" t="s">
        <v>528</v>
      </c>
    </row>
    <row r="21" spans="1:9" ht="20.100000000000001" customHeight="1" x14ac:dyDescent="0.2">
      <c r="A21" s="187" t="s">
        <v>529</v>
      </c>
    </row>
    <row r="23" spans="1:9" ht="20.100000000000001" customHeight="1" x14ac:dyDescent="0.2">
      <c r="A23" s="187" t="s">
        <v>530</v>
      </c>
    </row>
    <row r="25" spans="1:9" ht="20.100000000000001" customHeight="1" x14ac:dyDescent="0.2">
      <c r="A25" s="187" t="s">
        <v>531</v>
      </c>
    </row>
    <row r="27" spans="1:9" ht="20.100000000000001" customHeight="1" x14ac:dyDescent="0.2">
      <c r="A27" s="189" t="s">
        <v>532</v>
      </c>
    </row>
    <row r="29" spans="1:9" ht="20.100000000000001" customHeight="1" x14ac:dyDescent="0.2">
      <c r="A29" s="190" t="s">
        <v>170</v>
      </c>
      <c r="B29" s="191">
        <v>-6330</v>
      </c>
      <c r="C29" s="191">
        <v>-2700</v>
      </c>
      <c r="D29" s="191">
        <v>-4678</v>
      </c>
      <c r="E29" s="190"/>
      <c r="F29" s="191">
        <v>-3630</v>
      </c>
      <c r="G29" s="191">
        <v>-1652</v>
      </c>
      <c r="H29" s="190"/>
      <c r="I29" s="190" t="s">
        <v>533</v>
      </c>
    </row>
    <row r="31" spans="1:9" ht="20.100000000000001" customHeight="1" x14ac:dyDescent="0.2">
      <c r="A31" s="187" t="s">
        <v>534</v>
      </c>
    </row>
    <row r="33" spans="1:8" ht="20.100000000000001" customHeight="1" x14ac:dyDescent="0.2">
      <c r="A33" s="189" t="s">
        <v>535</v>
      </c>
    </row>
    <row r="35" spans="1:8" ht="20.100000000000001" customHeight="1" x14ac:dyDescent="0.2">
      <c r="A35" s="187" t="s">
        <v>536</v>
      </c>
    </row>
    <row r="37" spans="1:8" ht="20.100000000000001" customHeight="1" x14ac:dyDescent="0.2">
      <c r="A37" s="189" t="s">
        <v>537</v>
      </c>
    </row>
    <row r="38" spans="1:8" ht="20.100000000000001" customHeight="1" x14ac:dyDescent="0.25">
      <c r="A38" s="188"/>
    </row>
    <row r="39" spans="1:8" ht="20.100000000000001" customHeight="1" x14ac:dyDescent="0.2">
      <c r="A39" s="190" t="s">
        <v>156</v>
      </c>
      <c r="B39" s="191">
        <v>-105000</v>
      </c>
      <c r="C39" s="191">
        <v>-104850</v>
      </c>
      <c r="D39" s="191">
        <v>-90000</v>
      </c>
      <c r="E39" s="190"/>
      <c r="F39" s="192">
        <v>-150</v>
      </c>
      <c r="G39" s="191">
        <v>-15000</v>
      </c>
    </row>
    <row r="41" spans="1:8" ht="20.100000000000001" customHeight="1" x14ac:dyDescent="0.2">
      <c r="A41" s="187" t="s">
        <v>538</v>
      </c>
    </row>
    <row r="43" spans="1:8" ht="20.100000000000001" customHeight="1" x14ac:dyDescent="0.2">
      <c r="A43" s="187" t="s">
        <v>539</v>
      </c>
    </row>
    <row r="45" spans="1:8" ht="20.100000000000001" customHeight="1" x14ac:dyDescent="0.2">
      <c r="A45" s="187" t="s">
        <v>540</v>
      </c>
    </row>
    <row r="46" spans="1:8" ht="20.100000000000001" customHeight="1" x14ac:dyDescent="0.2">
      <c r="A46" s="193"/>
    </row>
    <row r="47" spans="1:8" ht="20.100000000000001" customHeight="1" x14ac:dyDescent="0.2">
      <c r="A47" s="190" t="s">
        <v>235</v>
      </c>
      <c r="B47" s="190"/>
      <c r="C47" s="190"/>
      <c r="D47" s="192" t="s">
        <v>541</v>
      </c>
      <c r="E47" s="190"/>
      <c r="F47" s="192" t="s">
        <v>541</v>
      </c>
      <c r="G47" s="192" t="s">
        <v>541</v>
      </c>
      <c r="H47" s="190"/>
    </row>
    <row r="49" spans="1:7" ht="20.100000000000001" customHeight="1" x14ac:dyDescent="0.2">
      <c r="A49" s="187" t="s">
        <v>542</v>
      </c>
    </row>
    <row r="51" spans="1:7" ht="20.100000000000001" customHeight="1" x14ac:dyDescent="0.2">
      <c r="A51" s="190" t="s">
        <v>168</v>
      </c>
      <c r="B51" s="191">
        <v>-2000</v>
      </c>
      <c r="C51" s="191">
        <v>-2000</v>
      </c>
      <c r="D51" s="191">
        <v>-2000</v>
      </c>
      <c r="E51" s="190"/>
      <c r="F51" s="192" t="s">
        <v>541</v>
      </c>
      <c r="G51" s="192" t="s">
        <v>541</v>
      </c>
    </row>
    <row r="53" spans="1:7" ht="20.100000000000001" customHeight="1" x14ac:dyDescent="0.2">
      <c r="A53" s="187" t="s">
        <v>543</v>
      </c>
    </row>
    <row r="54" spans="1:7" ht="20.100000000000001" customHeight="1" x14ac:dyDescent="0.2">
      <c r="A54" s="193"/>
    </row>
    <row r="55" spans="1:7" ht="20.100000000000001" customHeight="1" x14ac:dyDescent="0.2">
      <c r="A55" s="190" t="s">
        <v>169</v>
      </c>
      <c r="B55" s="191">
        <v>2000</v>
      </c>
      <c r="C55" s="191">
        <v>2000</v>
      </c>
      <c r="D55" s="191">
        <v>2000</v>
      </c>
      <c r="E55" s="190"/>
      <c r="F55" s="192" t="s">
        <v>541</v>
      </c>
      <c r="G55" s="192" t="s">
        <v>541</v>
      </c>
    </row>
    <row r="57" spans="1:7" ht="20.100000000000001" customHeight="1" x14ac:dyDescent="0.2">
      <c r="A57" s="194" t="s">
        <v>544</v>
      </c>
    </row>
    <row r="59" spans="1:7" ht="20.100000000000001" customHeight="1" x14ac:dyDescent="0.2">
      <c r="A59" s="190" t="s">
        <v>170</v>
      </c>
      <c r="B59" s="191">
        <v>-7200</v>
      </c>
      <c r="C59" s="191">
        <v>-3600</v>
      </c>
      <c r="D59" s="191">
        <v>-3700</v>
      </c>
      <c r="E59" s="190"/>
      <c r="F59" s="191">
        <v>-3600</v>
      </c>
      <c r="G59" s="191">
        <v>-3500</v>
      </c>
    </row>
    <row r="61" spans="1:7" ht="20.100000000000001" customHeight="1" x14ac:dyDescent="0.2">
      <c r="A61" s="187" t="s">
        <v>545</v>
      </c>
    </row>
    <row r="63" spans="1:7" ht="20.100000000000001" customHeight="1" x14ac:dyDescent="0.2">
      <c r="A63" s="187" t="s">
        <v>546</v>
      </c>
    </row>
    <row r="64" spans="1:7" ht="20.100000000000001" customHeight="1" x14ac:dyDescent="0.2">
      <c r="A64" s="193"/>
    </row>
    <row r="65" spans="1:7" ht="20.100000000000001" customHeight="1" x14ac:dyDescent="0.2">
      <c r="A65" s="190" t="s">
        <v>158</v>
      </c>
      <c r="B65" s="190"/>
      <c r="C65" s="190"/>
      <c r="D65" s="190"/>
      <c r="E65" s="190"/>
      <c r="F65" s="190"/>
      <c r="G65" s="190"/>
    </row>
    <row r="66" spans="1:7" ht="20.100000000000001" customHeight="1" x14ac:dyDescent="0.2">
      <c r="A66" s="190"/>
      <c r="B66" s="190"/>
      <c r="C66" s="190"/>
      <c r="D66" s="190"/>
      <c r="E66" s="190"/>
      <c r="F66" s="190"/>
      <c r="G66" s="190"/>
    </row>
    <row r="67" spans="1:7" ht="20.100000000000001" customHeight="1" x14ac:dyDescent="0.2">
      <c r="A67" s="190" t="s">
        <v>159</v>
      </c>
      <c r="B67" s="191">
        <v>-15000</v>
      </c>
      <c r="C67" s="191">
        <v>-14100</v>
      </c>
      <c r="D67" s="191">
        <v>-10000</v>
      </c>
      <c r="E67" s="190"/>
      <c r="F67" s="192">
        <v>-900</v>
      </c>
      <c r="G67" s="191">
        <v>-5000</v>
      </c>
    </row>
    <row r="68" spans="1:7" ht="20.100000000000001" customHeight="1" x14ac:dyDescent="0.2">
      <c r="A68" s="190" t="s">
        <v>160</v>
      </c>
      <c r="B68" s="191">
        <v>-5200</v>
      </c>
      <c r="C68" s="191">
        <v>-4935</v>
      </c>
      <c r="D68" s="191">
        <v>-3000</v>
      </c>
      <c r="E68" s="190"/>
      <c r="F68" s="192">
        <v>-265</v>
      </c>
      <c r="G68" s="191">
        <v>-2200</v>
      </c>
    </row>
    <row r="69" spans="1:7" ht="20.100000000000001" customHeight="1" x14ac:dyDescent="0.2">
      <c r="A69" s="190" t="s">
        <v>161</v>
      </c>
      <c r="B69" s="191">
        <v>-4200</v>
      </c>
      <c r="C69" s="191">
        <v>-4400</v>
      </c>
      <c r="D69" s="191">
        <v>-3700</v>
      </c>
      <c r="E69" s="190"/>
      <c r="F69" s="192">
        <v>200</v>
      </c>
      <c r="G69" s="192">
        <v>-500</v>
      </c>
    </row>
    <row r="70" spans="1:7" ht="20.100000000000001" customHeight="1" x14ac:dyDescent="0.2">
      <c r="A70" s="190" t="s">
        <v>162</v>
      </c>
      <c r="B70" s="191">
        <v>1200</v>
      </c>
      <c r="C70" s="192">
        <v>200</v>
      </c>
      <c r="D70" s="191">
        <v>1200</v>
      </c>
      <c r="E70" s="190"/>
      <c r="F70" s="191">
        <v>1000</v>
      </c>
      <c r="G70" s="192" t="s">
        <v>541</v>
      </c>
    </row>
    <row r="71" spans="1:7" ht="20.100000000000001" customHeight="1" x14ac:dyDescent="0.2">
      <c r="A71" s="190" t="s">
        <v>163</v>
      </c>
      <c r="B71" s="191">
        <v>1200</v>
      </c>
      <c r="C71" s="192">
        <v>200</v>
      </c>
      <c r="D71" s="191">
        <v>1500</v>
      </c>
      <c r="E71" s="190"/>
      <c r="F71" s="191">
        <v>1000</v>
      </c>
      <c r="G71" s="192">
        <v>-300</v>
      </c>
    </row>
    <row r="72" spans="1:7" ht="20.100000000000001" customHeight="1" x14ac:dyDescent="0.2">
      <c r="A72" s="190" t="s">
        <v>164</v>
      </c>
      <c r="B72" s="191">
        <v>-3000</v>
      </c>
      <c r="C72" s="191">
        <v>-3000</v>
      </c>
      <c r="D72" s="191">
        <v>-3000</v>
      </c>
      <c r="E72" s="190"/>
      <c r="F72" s="192" t="s">
        <v>541</v>
      </c>
      <c r="G72" s="192" t="s">
        <v>541</v>
      </c>
    </row>
    <row r="73" spans="1:7" ht="20.100000000000001" customHeight="1" x14ac:dyDescent="0.2">
      <c r="A73" s="190" t="s">
        <v>165</v>
      </c>
      <c r="B73" s="192">
        <v>-300</v>
      </c>
      <c r="C73" s="192">
        <v>500</v>
      </c>
      <c r="D73" s="192">
        <v>700</v>
      </c>
      <c r="E73" s="190"/>
      <c r="F73" s="192">
        <v>-800</v>
      </c>
      <c r="G73" s="191">
        <v>-1000</v>
      </c>
    </row>
    <row r="74" spans="1:7" ht="20.100000000000001" customHeight="1" x14ac:dyDescent="0.2">
      <c r="A74" s="190" t="s">
        <v>166</v>
      </c>
      <c r="B74" s="192">
        <v>-450</v>
      </c>
      <c r="C74" s="192" t="s">
        <v>541</v>
      </c>
      <c r="D74" s="192" t="s">
        <v>541</v>
      </c>
      <c r="E74" s="190"/>
      <c r="F74" s="192">
        <v>-450</v>
      </c>
      <c r="G74" s="192">
        <v>-450</v>
      </c>
    </row>
    <row r="75" spans="1:7" ht="20.100000000000001" customHeight="1" x14ac:dyDescent="0.2">
      <c r="A75" s="190" t="s">
        <v>167</v>
      </c>
      <c r="B75" s="191">
        <v>-11700</v>
      </c>
      <c r="C75" s="191">
        <v>-11700</v>
      </c>
      <c r="D75" s="191">
        <v>-7000</v>
      </c>
      <c r="E75" s="190"/>
      <c r="F75" s="192" t="s">
        <v>541</v>
      </c>
      <c r="G75" s="191">
        <v>-4700</v>
      </c>
    </row>
    <row r="76" spans="1:7" ht="20.100000000000001" customHeight="1" x14ac:dyDescent="0.2">
      <c r="A76" s="190" t="s">
        <v>168</v>
      </c>
      <c r="B76" s="191">
        <v>-2000</v>
      </c>
      <c r="C76" s="191">
        <v>-2000</v>
      </c>
      <c r="D76" s="191">
        <v>-2000</v>
      </c>
      <c r="E76" s="190"/>
      <c r="F76" s="192" t="s">
        <v>541</v>
      </c>
      <c r="G76" s="192" t="s">
        <v>541</v>
      </c>
    </row>
    <row r="77" spans="1:7" ht="20.100000000000001" customHeight="1" x14ac:dyDescent="0.2">
      <c r="A77" s="190" t="s">
        <v>169</v>
      </c>
      <c r="B77" s="191">
        <v>2000</v>
      </c>
      <c r="C77" s="191">
        <v>2000</v>
      </c>
      <c r="D77" s="191">
        <v>2000</v>
      </c>
      <c r="E77" s="190"/>
      <c r="F77" s="192" t="s">
        <v>541</v>
      </c>
      <c r="G77" s="192" t="s">
        <v>541</v>
      </c>
    </row>
    <row r="78" spans="1:7" ht="20.100000000000001" customHeight="1" x14ac:dyDescent="0.2">
      <c r="A78" s="190" t="s">
        <v>237</v>
      </c>
      <c r="B78" s="191">
        <v>-2000</v>
      </c>
      <c r="C78" s="191">
        <v>-2000</v>
      </c>
      <c r="D78" s="191">
        <v>-2000</v>
      </c>
      <c r="E78" s="190"/>
      <c r="F78" s="192" t="s">
        <v>541</v>
      </c>
      <c r="G78" s="192" t="s">
        <v>541</v>
      </c>
    </row>
    <row r="79" spans="1:7" ht="20.100000000000001" customHeight="1" x14ac:dyDescent="0.2">
      <c r="A79" s="190" t="s">
        <v>238</v>
      </c>
      <c r="B79" s="191">
        <v>-1400</v>
      </c>
      <c r="C79" s="191">
        <v>-1655</v>
      </c>
      <c r="D79" s="192" t="s">
        <v>541</v>
      </c>
      <c r="E79" s="190"/>
      <c r="F79" s="192">
        <v>255</v>
      </c>
      <c r="G79" s="191">
        <v>-1400</v>
      </c>
    </row>
    <row r="80" spans="1:7" ht="20.100000000000001" customHeight="1" x14ac:dyDescent="0.2">
      <c r="A80" s="190" t="s">
        <v>170</v>
      </c>
      <c r="B80" s="191">
        <v>-7200</v>
      </c>
      <c r="C80" s="191">
        <v>-3600</v>
      </c>
      <c r="D80" s="191">
        <v>-3700</v>
      </c>
      <c r="E80" s="190"/>
      <c r="F80" s="191">
        <v>-3600</v>
      </c>
      <c r="G80" s="191">
        <v>-3500</v>
      </c>
    </row>
    <row r="81" spans="1:7" ht="20.100000000000001" customHeight="1" x14ac:dyDescent="0.2">
      <c r="A81" s="190"/>
      <c r="B81" s="190"/>
      <c r="C81" s="190"/>
      <c r="D81" s="190"/>
      <c r="E81" s="190"/>
      <c r="F81" s="190"/>
      <c r="G81" s="190"/>
    </row>
    <row r="82" spans="1:7" ht="20.100000000000001" customHeight="1" x14ac:dyDescent="0.2">
      <c r="A82" s="190" t="s">
        <v>172</v>
      </c>
      <c r="B82" s="191">
        <v>-48050</v>
      </c>
      <c r="C82" s="191">
        <v>-44490</v>
      </c>
      <c r="D82" s="191">
        <v>-29000</v>
      </c>
      <c r="E82" s="190"/>
      <c r="F82" s="191">
        <v>-3560</v>
      </c>
      <c r="G82" s="191">
        <v>-19050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FE9FD-ECEB-46D0-B53E-CC78146F6DB9}">
  <sheetPr>
    <tabColor rgb="FFFFFF00"/>
  </sheetPr>
  <dimension ref="A1:S66"/>
  <sheetViews>
    <sheetView topLeftCell="A15" zoomScaleNormal="100" workbookViewId="0">
      <selection activeCell="E45" sqref="E45"/>
    </sheetView>
  </sheetViews>
  <sheetFormatPr defaultRowHeight="15" customHeight="1" x14ac:dyDescent="0.2"/>
  <cols>
    <col min="1" max="1" width="29.28515625" bestFit="1" customWidth="1"/>
    <col min="2" max="2" width="11.140625" bestFit="1" customWidth="1"/>
    <col min="3" max="3" width="13.7109375" bestFit="1" customWidth="1"/>
    <col min="4" max="4" width="14.140625" bestFit="1" customWidth="1"/>
    <col min="5" max="5" width="11" bestFit="1" customWidth="1"/>
    <col min="6" max="7" width="12.28515625" bestFit="1" customWidth="1"/>
  </cols>
  <sheetData>
    <row r="1" spans="1:7" ht="23.25" customHeight="1" thickBot="1" x14ac:dyDescent="0.45">
      <c r="A1" s="69" t="s">
        <v>442</v>
      </c>
      <c r="B1" s="71"/>
      <c r="C1" s="71"/>
      <c r="D1" s="71"/>
      <c r="E1" s="71"/>
      <c r="F1" s="71"/>
      <c r="G1" s="71"/>
    </row>
    <row r="3" spans="1:7" ht="15" customHeight="1" x14ac:dyDescent="0.2">
      <c r="A3" s="18" t="s">
        <v>468</v>
      </c>
    </row>
    <row r="5" spans="1:7" ht="15" customHeight="1" x14ac:dyDescent="0.2">
      <c r="A5" s="13" t="s">
        <v>469</v>
      </c>
    </row>
    <row r="6" spans="1:7" ht="15" customHeight="1" x14ac:dyDescent="0.2">
      <c r="A6" s="13" t="s">
        <v>480</v>
      </c>
    </row>
    <row r="7" spans="1:7" ht="15" customHeight="1" x14ac:dyDescent="0.2">
      <c r="A7" s="13" t="s">
        <v>481</v>
      </c>
    </row>
    <row r="8" spans="1:7" ht="15" customHeight="1" x14ac:dyDescent="0.2">
      <c r="A8" s="13"/>
    </row>
    <row r="10" spans="1:7" ht="15" customHeight="1" x14ac:dyDescent="0.2">
      <c r="B10" s="18" t="s">
        <v>430</v>
      </c>
      <c r="C10" s="18" t="s">
        <v>429</v>
      </c>
      <c r="D10" s="18" t="s">
        <v>248</v>
      </c>
      <c r="E10" s="18" t="s">
        <v>258</v>
      </c>
      <c r="F10" s="18" t="s">
        <v>427</v>
      </c>
      <c r="G10" s="18" t="s">
        <v>428</v>
      </c>
    </row>
    <row r="11" spans="1:7" ht="15" customHeight="1" x14ac:dyDescent="0.2">
      <c r="B11" s="13"/>
      <c r="C11" s="13"/>
      <c r="D11" s="13"/>
      <c r="E11" s="13"/>
      <c r="F11" s="13"/>
      <c r="G11" s="13"/>
    </row>
    <row r="12" spans="1:7" ht="15" customHeight="1" x14ac:dyDescent="0.2">
      <c r="A12" s="60" t="s">
        <v>470</v>
      </c>
      <c r="B12" s="13"/>
      <c r="C12" s="13"/>
      <c r="D12" s="13"/>
      <c r="E12" s="13"/>
      <c r="F12" s="13"/>
      <c r="G12" s="13"/>
    </row>
    <row r="13" spans="1:7" ht="15" customHeight="1" x14ac:dyDescent="0.2">
      <c r="B13" s="13"/>
      <c r="C13" s="13"/>
      <c r="D13" s="13"/>
      <c r="E13" s="13"/>
      <c r="F13" s="13"/>
      <c r="G13" s="13"/>
    </row>
    <row r="14" spans="1:7" ht="15" customHeight="1" x14ac:dyDescent="0.2">
      <c r="A14" s="13" t="s">
        <v>462</v>
      </c>
      <c r="B14">
        <v>6</v>
      </c>
      <c r="C14">
        <v>6</v>
      </c>
      <c r="D14">
        <v>6</v>
      </c>
      <c r="E14" s="175"/>
      <c r="F14" s="175"/>
      <c r="G14" s="175"/>
    </row>
    <row r="15" spans="1:7" ht="15" customHeight="1" x14ac:dyDescent="0.2">
      <c r="A15" s="13" t="s">
        <v>464</v>
      </c>
      <c r="B15">
        <v>19.5</v>
      </c>
      <c r="C15">
        <v>19.5</v>
      </c>
      <c r="D15">
        <v>19.5</v>
      </c>
      <c r="E15" s="175"/>
      <c r="F15" s="175"/>
      <c r="G15" s="175"/>
    </row>
    <row r="16" spans="1:7" ht="15" customHeight="1" x14ac:dyDescent="0.2">
      <c r="A16" s="13" t="s">
        <v>465</v>
      </c>
      <c r="B16">
        <v>75</v>
      </c>
      <c r="C16">
        <v>75</v>
      </c>
      <c r="D16">
        <v>75</v>
      </c>
      <c r="E16">
        <v>75</v>
      </c>
      <c r="F16">
        <v>83</v>
      </c>
      <c r="G16">
        <v>83</v>
      </c>
    </row>
    <row r="17" spans="1:10" ht="15" customHeight="1" x14ac:dyDescent="0.2">
      <c r="A17" s="13"/>
    </row>
    <row r="18" spans="1:10" ht="15" customHeight="1" x14ac:dyDescent="0.2">
      <c r="A18" s="13" t="s">
        <v>463</v>
      </c>
      <c r="B18">
        <v>10</v>
      </c>
      <c r="C18">
        <v>10</v>
      </c>
      <c r="D18">
        <v>10</v>
      </c>
      <c r="E18">
        <v>10</v>
      </c>
      <c r="F18">
        <v>12</v>
      </c>
      <c r="G18">
        <v>12</v>
      </c>
    </row>
    <row r="20" spans="1:10" ht="15" customHeight="1" x14ac:dyDescent="0.2">
      <c r="A20" s="13" t="s">
        <v>467</v>
      </c>
      <c r="B20">
        <v>10</v>
      </c>
      <c r="C20">
        <v>10</v>
      </c>
      <c r="D20">
        <v>10</v>
      </c>
      <c r="E20">
        <v>10</v>
      </c>
      <c r="F20">
        <v>10</v>
      </c>
      <c r="G20">
        <v>10</v>
      </c>
      <c r="J20" s="13" t="s">
        <v>460</v>
      </c>
    </row>
    <row r="21" spans="1:10" ht="15" customHeight="1" x14ac:dyDescent="0.2">
      <c r="A21" s="13" t="s">
        <v>400</v>
      </c>
      <c r="B21">
        <v>18</v>
      </c>
      <c r="C21">
        <v>18</v>
      </c>
      <c r="D21">
        <v>18</v>
      </c>
      <c r="E21">
        <v>18</v>
      </c>
      <c r="F21">
        <v>20</v>
      </c>
      <c r="G21">
        <v>20</v>
      </c>
    </row>
    <row r="22" spans="1:10" ht="15" customHeight="1" x14ac:dyDescent="0.2">
      <c r="A22" s="13" t="s">
        <v>401</v>
      </c>
      <c r="B22">
        <v>27</v>
      </c>
      <c r="C22">
        <v>27</v>
      </c>
      <c r="D22">
        <v>27</v>
      </c>
      <c r="E22" s="175"/>
      <c r="F22" s="175"/>
      <c r="G22" s="175"/>
    </row>
    <row r="23" spans="1:10" ht="15" customHeight="1" x14ac:dyDescent="0.2">
      <c r="A23" s="13" t="s">
        <v>402</v>
      </c>
      <c r="B23">
        <v>39</v>
      </c>
      <c r="C23">
        <v>39</v>
      </c>
      <c r="D23">
        <v>39</v>
      </c>
      <c r="E23" s="175"/>
      <c r="F23" s="175"/>
      <c r="G23" s="175"/>
    </row>
    <row r="24" spans="1:10" ht="15" customHeight="1" x14ac:dyDescent="0.2">
      <c r="A24" s="13" t="s">
        <v>403</v>
      </c>
      <c r="B24">
        <v>75</v>
      </c>
      <c r="C24">
        <v>75</v>
      </c>
      <c r="D24">
        <v>75</v>
      </c>
      <c r="E24">
        <v>75</v>
      </c>
      <c r="F24">
        <v>83</v>
      </c>
      <c r="G24">
        <v>83</v>
      </c>
    </row>
    <row r="25" spans="1:10" ht="15" customHeight="1" x14ac:dyDescent="0.2">
      <c r="A25" s="13"/>
    </row>
    <row r="26" spans="1:10" ht="15" customHeight="1" x14ac:dyDescent="0.2">
      <c r="A26" s="13" t="s">
        <v>463</v>
      </c>
      <c r="B26">
        <v>33</v>
      </c>
      <c r="C26">
        <v>33</v>
      </c>
      <c r="D26">
        <v>33</v>
      </c>
      <c r="E26">
        <v>33</v>
      </c>
      <c r="F26">
        <v>37</v>
      </c>
      <c r="G26">
        <v>37</v>
      </c>
    </row>
    <row r="28" spans="1:10" ht="15" customHeight="1" x14ac:dyDescent="0.2">
      <c r="A28" s="152" t="s">
        <v>388</v>
      </c>
      <c r="B28" s="17">
        <v>8928</v>
      </c>
      <c r="C28" s="17">
        <f>B29</f>
        <v>12266</v>
      </c>
      <c r="D28" s="17">
        <f>C29</f>
        <v>14159</v>
      </c>
      <c r="E28" s="17">
        <f>D29</f>
        <v>15574.900000000001</v>
      </c>
      <c r="F28" s="17">
        <f t="shared" ref="F28:G28" si="0">E29</f>
        <v>15886.398000000001</v>
      </c>
      <c r="G28" s="17">
        <f t="shared" si="0"/>
        <v>16204.125960000001</v>
      </c>
      <c r="H28" s="17"/>
    </row>
    <row r="29" spans="1:10" ht="15" customHeight="1" x14ac:dyDescent="0.2">
      <c r="A29" s="152" t="s">
        <v>389</v>
      </c>
      <c r="B29" s="15">
        <f>'Membership Summary Table (2)'!C6</f>
        <v>12266</v>
      </c>
      <c r="C29" s="15">
        <f>'Membership Summary Table (2)'!D6</f>
        <v>14159</v>
      </c>
      <c r="D29" s="15">
        <f>'Membership Summary Table (2)'!E6</f>
        <v>15574.900000000001</v>
      </c>
      <c r="E29" s="15">
        <f>'Membership Summary Table (2)'!F6</f>
        <v>15886.398000000001</v>
      </c>
      <c r="F29" s="15">
        <f>'Membership Summary Table (2)'!G6</f>
        <v>16204.125960000001</v>
      </c>
      <c r="G29" s="15">
        <f>'Membership Summary Table (2)'!H6</f>
        <v>16528.208479200002</v>
      </c>
      <c r="H29" s="17"/>
    </row>
    <row r="30" spans="1:10" ht="15" customHeight="1" x14ac:dyDescent="0.2">
      <c r="A30" s="153" t="s">
        <v>393</v>
      </c>
      <c r="B30" s="17">
        <f t="shared" ref="B30:G30" si="1">(B29+B28)/2</f>
        <v>10597</v>
      </c>
      <c r="C30" s="17">
        <f t="shared" si="1"/>
        <v>13212.5</v>
      </c>
      <c r="D30" s="17">
        <f t="shared" si="1"/>
        <v>14866.95</v>
      </c>
      <c r="E30" s="17">
        <f t="shared" si="1"/>
        <v>15730.649000000001</v>
      </c>
      <c r="F30" s="17">
        <f t="shared" si="1"/>
        <v>16045.261980000001</v>
      </c>
      <c r="G30" s="17">
        <f t="shared" si="1"/>
        <v>16366.167219600002</v>
      </c>
      <c r="H30" s="17"/>
    </row>
    <row r="31" spans="1:10" ht="15" customHeight="1" x14ac:dyDescent="0.2">
      <c r="A31" s="152"/>
    </row>
    <row r="32" spans="1:10" ht="15" customHeight="1" x14ac:dyDescent="0.2">
      <c r="A32" s="152" t="s">
        <v>390</v>
      </c>
      <c r="B32" s="151"/>
      <c r="C32" s="151">
        <f>(C29/B29)-1</f>
        <v>0.15432903962171851</v>
      </c>
      <c r="D32" s="151">
        <f>(D29/C29)-1</f>
        <v>0.10000000000000009</v>
      </c>
      <c r="E32" s="151">
        <f t="shared" ref="E32:G32" si="2">(E29/D29)-1</f>
        <v>2.0000000000000018E-2</v>
      </c>
      <c r="F32" s="151">
        <f t="shared" si="2"/>
        <v>2.0000000000000018E-2</v>
      </c>
      <c r="G32" s="151">
        <f t="shared" si="2"/>
        <v>2.0000000000000018E-2</v>
      </c>
      <c r="H32" s="151"/>
    </row>
    <row r="33" spans="1:19" ht="15" customHeight="1" x14ac:dyDescent="0.2">
      <c r="A33" s="152"/>
      <c r="B33" s="151"/>
      <c r="C33" s="151"/>
      <c r="D33" s="151"/>
      <c r="E33" s="151"/>
      <c r="F33" s="151"/>
      <c r="G33" s="151"/>
      <c r="H33" s="151"/>
    </row>
    <row r="34" spans="1:19" ht="15" customHeight="1" x14ac:dyDescent="0.2">
      <c r="A34" s="153" t="s">
        <v>466</v>
      </c>
      <c r="B34">
        <f>'Membership Summary Table (2)'!C25</f>
        <v>18</v>
      </c>
      <c r="C34">
        <f>'Membership Summary Table (2)'!D25</f>
        <v>18</v>
      </c>
      <c r="D34">
        <f>'Membership Summary Table (2)'!E25</f>
        <v>18</v>
      </c>
      <c r="E34">
        <f>'Membership Summary Table (2)'!F25</f>
        <v>19.440000000000001</v>
      </c>
      <c r="F34">
        <f>'Membership Summary Table (2)'!G25</f>
        <v>19.440000000000001</v>
      </c>
      <c r="G34">
        <f>'Membership Summary Table (2)'!H25</f>
        <v>19.440000000000001</v>
      </c>
    </row>
    <row r="35" spans="1:19" ht="15" customHeight="1" x14ac:dyDescent="0.2">
      <c r="A35" s="152" t="s">
        <v>461</v>
      </c>
      <c r="E35" s="86">
        <f>(E34/D34)-1</f>
        <v>8.0000000000000071E-2</v>
      </c>
      <c r="F35" s="86">
        <f t="shared" ref="F35:G35" si="3">(F34/E34)-1</f>
        <v>0</v>
      </c>
      <c r="G35" s="86">
        <f t="shared" si="3"/>
        <v>0</v>
      </c>
    </row>
    <row r="36" spans="1:19" ht="15" customHeight="1" x14ac:dyDescent="0.2">
      <c r="A36" s="152"/>
      <c r="E36" s="86"/>
      <c r="F36" s="86"/>
      <c r="G36" s="86"/>
    </row>
    <row r="37" spans="1:19" ht="15" customHeight="1" x14ac:dyDescent="0.2">
      <c r="A37" s="174" t="s">
        <v>0</v>
      </c>
      <c r="E37" s="86"/>
      <c r="F37" s="86"/>
      <c r="G37" s="86"/>
    </row>
    <row r="39" spans="1:19" ht="15" customHeight="1" x14ac:dyDescent="0.2">
      <c r="A39" s="13" t="s">
        <v>431</v>
      </c>
      <c r="B39" s="17">
        <v>210805.06</v>
      </c>
      <c r="C39" s="17">
        <v>218253.32</v>
      </c>
      <c r="D39" s="17">
        <v>255000</v>
      </c>
      <c r="E39" s="17">
        <f>Membership!C9</f>
        <v>286704.45828000002</v>
      </c>
      <c r="F39" s="17">
        <f>'Membership Summary Table (2)'!G29</f>
        <v>308861.85472560005</v>
      </c>
      <c r="G39" s="17">
        <f>'Membership Summary Table (2)'!H29</f>
        <v>315039.09182011208</v>
      </c>
      <c r="H39" s="17"/>
      <c r="I39" s="17"/>
      <c r="J39" s="17"/>
      <c r="K39" s="17"/>
      <c r="L39" s="17"/>
      <c r="M39" s="17"/>
      <c r="N39" s="17"/>
      <c r="O39" s="17"/>
      <c r="P39" s="17"/>
      <c r="Q39" s="17"/>
      <c r="R39" s="17"/>
      <c r="S39" s="17"/>
    </row>
    <row r="40" spans="1:19" ht="15" customHeight="1" x14ac:dyDescent="0.2">
      <c r="A40" s="13" t="s">
        <v>432</v>
      </c>
      <c r="B40" s="17">
        <v>-10383.739999999991</v>
      </c>
      <c r="C40" s="17">
        <v>-11459</v>
      </c>
      <c r="D40" s="17">
        <v>-15600</v>
      </c>
      <c r="E40" s="17">
        <f>'Budget 25 Summary P&amp;L'!F16-'3 Year forecast - option 1'!E39</f>
        <v>-11850</v>
      </c>
      <c r="F40" s="17">
        <f t="shared" ref="F40:G45" si="4">E40*1.05</f>
        <v>-12442.5</v>
      </c>
      <c r="G40" s="17">
        <f t="shared" si="4"/>
        <v>-13064.625</v>
      </c>
      <c r="H40" s="17"/>
      <c r="I40" s="17"/>
      <c r="J40" s="17"/>
      <c r="K40" s="17"/>
      <c r="L40" s="17"/>
      <c r="M40" s="17"/>
      <c r="N40" s="17"/>
      <c r="O40" s="17"/>
      <c r="P40" s="17"/>
      <c r="Q40" s="17"/>
      <c r="R40" s="17"/>
      <c r="S40" s="17"/>
    </row>
    <row r="41" spans="1:19" ht="15" customHeight="1" x14ac:dyDescent="0.2">
      <c r="A41" t="s">
        <v>139</v>
      </c>
      <c r="B41" s="17">
        <v>-16865.589999999997</v>
      </c>
      <c r="C41" s="17">
        <v>-46661.55</v>
      </c>
      <c r="D41" s="17">
        <v>-44490</v>
      </c>
      <c r="E41" s="17">
        <f>'Budget 25 Summary P&amp;L'!H16</f>
        <v>-48050</v>
      </c>
      <c r="F41" s="17">
        <f>E41*1.05</f>
        <v>-50452.5</v>
      </c>
      <c r="G41" s="17">
        <f t="shared" si="4"/>
        <v>-52975.125</v>
      </c>
      <c r="H41" s="17"/>
      <c r="I41" s="17"/>
      <c r="J41" s="17"/>
      <c r="K41" s="17"/>
      <c r="L41" s="17"/>
      <c r="M41" s="17"/>
      <c r="N41" s="17"/>
      <c r="O41" s="17"/>
      <c r="P41" s="17"/>
      <c r="Q41" s="17"/>
      <c r="R41" s="17"/>
      <c r="S41" s="17"/>
    </row>
    <row r="42" spans="1:19" ht="15" customHeight="1" x14ac:dyDescent="0.2">
      <c r="A42" t="s">
        <v>135</v>
      </c>
      <c r="B42" s="17">
        <v>4187.84</v>
      </c>
      <c r="C42" s="17">
        <v>6714.6299999999974</v>
      </c>
      <c r="D42" s="17">
        <v>500</v>
      </c>
      <c r="E42" s="17">
        <f>'Budget 25 Summary P&amp;L'!I16</f>
        <v>0</v>
      </c>
      <c r="F42" s="17">
        <f t="shared" ref="F42:F45" si="5">E42*1.05</f>
        <v>0</v>
      </c>
      <c r="G42" s="17">
        <f t="shared" si="4"/>
        <v>0</v>
      </c>
      <c r="H42" s="17"/>
      <c r="I42" s="17"/>
      <c r="J42" s="17"/>
      <c r="K42" s="17"/>
      <c r="L42" s="17"/>
      <c r="M42" s="17"/>
      <c r="N42" s="17"/>
      <c r="O42" s="17"/>
      <c r="P42" s="17"/>
      <c r="Q42" s="17"/>
      <c r="R42" s="17"/>
      <c r="S42" s="17"/>
    </row>
    <row r="43" spans="1:19" ht="15" customHeight="1" x14ac:dyDescent="0.2">
      <c r="A43" t="s">
        <v>134</v>
      </c>
      <c r="B43" s="17">
        <v>-88352.88</v>
      </c>
      <c r="C43" s="17">
        <v>-19545.63</v>
      </c>
      <c r="D43" s="17">
        <v>-65500</v>
      </c>
      <c r="E43" s="17">
        <f>'Budget 25 Summary P&amp;L'!J16</f>
        <v>-70000</v>
      </c>
      <c r="F43" s="17">
        <f t="shared" si="5"/>
        <v>-73500</v>
      </c>
      <c r="G43" s="17">
        <f t="shared" si="4"/>
        <v>-77175</v>
      </c>
      <c r="H43" s="17"/>
      <c r="I43" s="17"/>
      <c r="J43" s="17"/>
      <c r="K43" s="17"/>
      <c r="L43" s="17"/>
      <c r="M43" s="17"/>
      <c r="N43" s="17"/>
      <c r="O43" s="17"/>
      <c r="P43" s="17"/>
      <c r="Q43" s="17"/>
      <c r="R43" s="17"/>
      <c r="S43" s="17"/>
    </row>
    <row r="44" spans="1:19" ht="15" customHeight="1" x14ac:dyDescent="0.2">
      <c r="A44" t="s">
        <v>137</v>
      </c>
      <c r="B44" s="17">
        <v>-1156.619999999999</v>
      </c>
      <c r="C44" s="17">
        <v>-10126.029999999999</v>
      </c>
      <c r="D44" s="17">
        <v>-12500</v>
      </c>
      <c r="E44" s="17">
        <f>'Budget 25 Summary P&amp;L'!K16</f>
        <v>-12500</v>
      </c>
      <c r="F44" s="17">
        <f t="shared" si="5"/>
        <v>-13125</v>
      </c>
      <c r="G44" s="17">
        <f t="shared" si="4"/>
        <v>-13781.25</v>
      </c>
      <c r="H44" s="17"/>
      <c r="I44" s="17"/>
      <c r="J44" s="17"/>
      <c r="K44" s="17"/>
      <c r="L44" s="17"/>
      <c r="M44" s="17"/>
      <c r="N44" s="17"/>
      <c r="O44" s="17"/>
      <c r="P44" s="17"/>
      <c r="Q44" s="17"/>
      <c r="R44" s="17"/>
      <c r="S44" s="17"/>
    </row>
    <row r="45" spans="1:19" ht="15" customHeight="1" x14ac:dyDescent="0.2">
      <c r="A45" t="s">
        <v>136</v>
      </c>
      <c r="B45" s="17">
        <f>-122613.03-4326</f>
        <v>-126939.03</v>
      </c>
      <c r="C45" s="17">
        <v>-144379.04</v>
      </c>
      <c r="D45" s="17">
        <v>-143372</v>
      </c>
      <c r="E45" s="17" t="e">
        <f>'Budget 25 Summary P&amp;L'!#REF!</f>
        <v>#REF!</v>
      </c>
      <c r="F45" s="17" t="e">
        <f t="shared" si="5"/>
        <v>#REF!</v>
      </c>
      <c r="G45" s="17" t="e">
        <f t="shared" si="4"/>
        <v>#REF!</v>
      </c>
      <c r="H45" s="17"/>
      <c r="I45" s="17"/>
      <c r="J45" s="17"/>
      <c r="K45" s="17"/>
      <c r="L45" s="17"/>
      <c r="M45" s="17"/>
      <c r="N45" s="17"/>
      <c r="O45" s="17"/>
      <c r="P45" s="17"/>
      <c r="Q45" s="17"/>
      <c r="R45" s="17"/>
      <c r="S45" s="17"/>
    </row>
    <row r="46" spans="1:19" ht="15" hidden="1" customHeight="1" x14ac:dyDescent="0.2">
      <c r="A46" t="s">
        <v>351</v>
      </c>
      <c r="B46" s="17">
        <v>0</v>
      </c>
      <c r="C46" s="17">
        <v>0</v>
      </c>
      <c r="D46" s="17">
        <v>0</v>
      </c>
      <c r="E46" s="17">
        <v>0</v>
      </c>
      <c r="F46" s="17"/>
      <c r="G46" s="17"/>
      <c r="H46" s="17"/>
      <c r="I46" s="17"/>
      <c r="J46" s="17"/>
      <c r="K46" s="17"/>
      <c r="L46" s="17"/>
      <c r="M46" s="17"/>
      <c r="N46" s="17"/>
      <c r="O46" s="17"/>
      <c r="P46" s="17"/>
      <c r="Q46" s="17"/>
      <c r="R46" s="17"/>
      <c r="S46" s="17"/>
    </row>
    <row r="47" spans="1:19" ht="15" hidden="1" customHeight="1" x14ac:dyDescent="0.2">
      <c r="A47" t="s">
        <v>149</v>
      </c>
      <c r="B47" s="17">
        <v>0</v>
      </c>
      <c r="C47" s="17">
        <v>0</v>
      </c>
      <c r="D47" s="17">
        <v>0</v>
      </c>
      <c r="E47" s="17">
        <v>0</v>
      </c>
      <c r="F47" s="17"/>
      <c r="G47" s="17"/>
      <c r="H47" s="17"/>
      <c r="I47" s="17"/>
      <c r="J47" s="17"/>
      <c r="K47" s="17"/>
      <c r="L47" s="17"/>
      <c r="M47" s="17"/>
      <c r="N47" s="17"/>
      <c r="O47" s="17"/>
      <c r="P47" s="17"/>
      <c r="Q47" s="17"/>
      <c r="R47" s="17"/>
      <c r="S47" s="17"/>
    </row>
    <row r="48" spans="1:19" ht="15" customHeight="1" x14ac:dyDescent="0.2">
      <c r="B48" s="17"/>
      <c r="C48" s="17"/>
      <c r="D48" s="17"/>
      <c r="E48" s="17"/>
      <c r="F48" s="17"/>
      <c r="G48" s="17"/>
      <c r="H48" s="17"/>
      <c r="I48" s="17"/>
      <c r="J48" s="17"/>
      <c r="K48" s="17"/>
      <c r="L48" s="17"/>
      <c r="M48" s="17"/>
      <c r="N48" s="17"/>
      <c r="O48" s="17"/>
      <c r="P48" s="17"/>
      <c r="Q48" s="17"/>
      <c r="R48" s="17"/>
      <c r="S48" s="17"/>
    </row>
    <row r="49" spans="1:19" ht="15" customHeight="1" x14ac:dyDescent="0.2">
      <c r="A49" s="65" t="s">
        <v>439</v>
      </c>
      <c r="B49" s="167">
        <f t="shared" ref="B49:D49" si="6">SUM(B39:B48)</f>
        <v>-28704.959999999992</v>
      </c>
      <c r="C49" s="167">
        <f t="shared" si="6"/>
        <v>-7203.2999999999884</v>
      </c>
      <c r="D49" s="167">
        <f t="shared" si="6"/>
        <v>-25962</v>
      </c>
      <c r="E49" s="167" t="e">
        <f>SUM(E39:E48)</f>
        <v>#REF!</v>
      </c>
      <c r="F49" s="167" t="e">
        <f t="shared" ref="F49:G49" si="7">SUM(F39:F48)</f>
        <v>#REF!</v>
      </c>
      <c r="G49" s="167" t="e">
        <f t="shared" si="7"/>
        <v>#REF!</v>
      </c>
      <c r="H49" s="17"/>
      <c r="I49" s="17"/>
      <c r="J49" s="17"/>
      <c r="K49" s="17"/>
      <c r="L49" s="17"/>
      <c r="M49" s="17"/>
      <c r="N49" s="17"/>
      <c r="O49" s="17"/>
      <c r="P49" s="17"/>
      <c r="Q49" s="17"/>
      <c r="R49" s="17"/>
      <c r="S49" s="17"/>
    </row>
    <row r="50" spans="1:19" ht="15" customHeight="1" x14ac:dyDescent="0.2">
      <c r="B50" s="17"/>
      <c r="C50" s="17"/>
      <c r="D50" s="17"/>
      <c r="E50" s="17"/>
      <c r="F50" s="17"/>
      <c r="G50" s="17"/>
      <c r="H50" s="17"/>
      <c r="I50" s="17"/>
      <c r="J50" s="17"/>
      <c r="K50" s="17"/>
      <c r="L50" s="17"/>
      <c r="M50" s="17"/>
      <c r="N50" s="17"/>
      <c r="O50" s="17"/>
      <c r="P50" s="17"/>
      <c r="Q50" s="17"/>
      <c r="R50" s="17"/>
      <c r="S50" s="17"/>
    </row>
    <row r="51" spans="1:19" ht="15" customHeight="1" x14ac:dyDescent="0.2">
      <c r="A51" s="13" t="s">
        <v>349</v>
      </c>
      <c r="B51" s="17">
        <v>0</v>
      </c>
      <c r="C51" s="17">
        <v>0</v>
      </c>
      <c r="D51" s="17">
        <v>200000</v>
      </c>
      <c r="E51" s="17">
        <v>300000</v>
      </c>
      <c r="F51" s="17">
        <v>0</v>
      </c>
      <c r="G51" s="17">
        <v>0</v>
      </c>
      <c r="H51" s="17"/>
      <c r="I51" s="17"/>
      <c r="J51" s="17"/>
      <c r="K51" s="17"/>
      <c r="L51" s="17"/>
      <c r="M51" s="17"/>
      <c r="N51" s="17"/>
      <c r="O51" s="17"/>
      <c r="P51" s="17"/>
      <c r="Q51" s="17"/>
      <c r="R51" s="17"/>
      <c r="S51" s="17"/>
    </row>
    <row r="52" spans="1:19" ht="15" customHeight="1" x14ac:dyDescent="0.2">
      <c r="A52" s="13" t="s">
        <v>350</v>
      </c>
      <c r="B52" s="17">
        <v>0</v>
      </c>
      <c r="C52" s="17">
        <v>0</v>
      </c>
      <c r="D52" s="17">
        <v>-185000</v>
      </c>
      <c r="E52" s="17">
        <v>-300000</v>
      </c>
      <c r="F52" s="17">
        <v>0</v>
      </c>
      <c r="G52" s="17">
        <v>0</v>
      </c>
      <c r="H52" s="17"/>
      <c r="I52" s="17"/>
      <c r="J52" s="17"/>
      <c r="K52" s="17"/>
      <c r="L52" s="17"/>
      <c r="M52" s="17"/>
      <c r="N52" s="17"/>
      <c r="O52" s="17"/>
      <c r="P52" s="17"/>
      <c r="Q52" s="17"/>
      <c r="R52" s="17"/>
      <c r="S52" s="17"/>
    </row>
    <row r="53" spans="1:19" ht="15" customHeight="1" x14ac:dyDescent="0.2">
      <c r="B53" s="17"/>
      <c r="C53" s="17"/>
      <c r="D53" s="17"/>
      <c r="E53" s="17"/>
      <c r="F53" s="17"/>
      <c r="G53" s="17"/>
      <c r="H53" s="17"/>
      <c r="I53" s="17"/>
      <c r="J53" s="17"/>
      <c r="K53" s="17"/>
      <c r="L53" s="17"/>
      <c r="M53" s="17"/>
      <c r="N53" s="17"/>
      <c r="O53" s="17"/>
      <c r="P53" s="17"/>
      <c r="Q53" s="17"/>
      <c r="R53" s="17"/>
      <c r="S53" s="17"/>
    </row>
    <row r="54" spans="1:19" ht="15" customHeight="1" x14ac:dyDescent="0.2">
      <c r="A54" s="13" t="s">
        <v>440</v>
      </c>
      <c r="B54" s="17">
        <v>112926</v>
      </c>
      <c r="C54" s="17">
        <f>B56</f>
        <v>84221.040000000008</v>
      </c>
      <c r="D54" s="17">
        <f t="shared" ref="D54:G54" si="8">C56</f>
        <v>77017.74000000002</v>
      </c>
      <c r="E54" s="17">
        <f t="shared" si="8"/>
        <v>66055.74000000002</v>
      </c>
      <c r="F54" s="17" t="e">
        <f t="shared" si="8"/>
        <v>#REF!</v>
      </c>
      <c r="G54" s="17" t="e">
        <f t="shared" si="8"/>
        <v>#REF!</v>
      </c>
      <c r="H54" s="17"/>
      <c r="I54" s="17"/>
      <c r="J54" s="17"/>
      <c r="K54" s="17"/>
      <c r="L54" s="17"/>
      <c r="M54" s="17"/>
      <c r="N54" s="17"/>
      <c r="O54" s="17"/>
      <c r="P54" s="17"/>
      <c r="Q54" s="17"/>
      <c r="R54" s="17"/>
      <c r="S54" s="17"/>
    </row>
    <row r="55" spans="1:19" ht="15" customHeight="1" x14ac:dyDescent="0.2">
      <c r="B55" s="17"/>
      <c r="C55" s="17"/>
      <c r="D55" s="17"/>
      <c r="E55" s="17"/>
      <c r="F55" s="17"/>
      <c r="G55" s="17"/>
      <c r="H55" s="17"/>
      <c r="I55" s="17"/>
      <c r="J55" s="17"/>
      <c r="K55" s="17"/>
      <c r="L55" s="17"/>
      <c r="M55" s="17"/>
      <c r="N55" s="17"/>
      <c r="O55" s="17"/>
      <c r="P55" s="17"/>
      <c r="Q55" s="17"/>
      <c r="R55" s="17"/>
      <c r="S55" s="17"/>
    </row>
    <row r="56" spans="1:19" ht="15" customHeight="1" thickBot="1" x14ac:dyDescent="0.25">
      <c r="A56" s="165" t="s">
        <v>441</v>
      </c>
      <c r="B56" s="166">
        <f>B54+B52+B51+B49</f>
        <v>84221.040000000008</v>
      </c>
      <c r="C56" s="166">
        <f t="shared" ref="C56:G56" si="9">C54+C52+C51+C49</f>
        <v>77017.74000000002</v>
      </c>
      <c r="D56" s="166">
        <f t="shared" si="9"/>
        <v>66055.74000000002</v>
      </c>
      <c r="E56" s="166" t="e">
        <f t="shared" si="9"/>
        <v>#REF!</v>
      </c>
      <c r="F56" s="166" t="e">
        <f t="shared" si="9"/>
        <v>#REF!</v>
      </c>
      <c r="G56" s="166" t="e">
        <f t="shared" si="9"/>
        <v>#REF!</v>
      </c>
      <c r="H56" s="17"/>
      <c r="I56" s="17"/>
      <c r="J56" s="17"/>
      <c r="K56" s="17"/>
      <c r="L56" s="17"/>
      <c r="M56" s="17"/>
      <c r="N56" s="17"/>
      <c r="O56" s="17"/>
      <c r="P56" s="17"/>
      <c r="Q56" s="17"/>
      <c r="R56" s="17"/>
      <c r="S56" s="17"/>
    </row>
    <row r="57" spans="1:19" ht="15" customHeight="1" thickTop="1" x14ac:dyDescent="0.2">
      <c r="B57" s="17"/>
      <c r="C57" s="17"/>
      <c r="D57" s="17"/>
      <c r="E57" s="17"/>
      <c r="F57" s="17"/>
      <c r="G57" s="17"/>
      <c r="H57" s="17"/>
      <c r="I57" s="17"/>
      <c r="J57" s="17"/>
      <c r="K57" s="17"/>
      <c r="L57" s="17"/>
      <c r="M57" s="17"/>
      <c r="N57" s="17"/>
      <c r="O57" s="17"/>
      <c r="P57" s="17"/>
      <c r="Q57" s="17"/>
      <c r="R57" s="17"/>
      <c r="S57" s="17"/>
    </row>
    <row r="58" spans="1:19" ht="15" customHeight="1" x14ac:dyDescent="0.2">
      <c r="B58" s="17"/>
      <c r="C58" s="17"/>
      <c r="D58" s="17"/>
      <c r="E58" s="17"/>
      <c r="F58" s="17"/>
      <c r="G58" s="17"/>
      <c r="H58" s="17"/>
      <c r="I58" s="17"/>
      <c r="J58" s="17"/>
      <c r="K58" s="17"/>
      <c r="L58" s="17"/>
      <c r="M58" s="17"/>
      <c r="N58" s="17"/>
      <c r="O58" s="17"/>
      <c r="P58" s="17"/>
      <c r="Q58" s="17"/>
      <c r="R58" s="17"/>
      <c r="S58" s="17"/>
    </row>
    <row r="59" spans="1:19" ht="15" customHeight="1" x14ac:dyDescent="0.2">
      <c r="A59" s="13" t="s">
        <v>207</v>
      </c>
      <c r="B59" s="17"/>
      <c r="C59" s="17"/>
      <c r="D59" s="17"/>
      <c r="E59" s="17"/>
      <c r="F59" s="17"/>
      <c r="G59" s="17"/>
      <c r="H59" s="17"/>
      <c r="I59" s="17"/>
      <c r="J59" s="17"/>
      <c r="K59" s="17"/>
      <c r="L59" s="17"/>
      <c r="M59" s="17"/>
      <c r="N59" s="17"/>
      <c r="O59" s="17"/>
      <c r="P59" s="17"/>
      <c r="Q59" s="17"/>
      <c r="R59" s="17"/>
      <c r="S59" s="17"/>
    </row>
    <row r="60" spans="1:19" ht="15" customHeight="1" x14ac:dyDescent="0.2">
      <c r="A60" s="13" t="s">
        <v>443</v>
      </c>
      <c r="B60" s="17"/>
      <c r="C60" s="17"/>
      <c r="D60" s="17"/>
      <c r="E60" s="17"/>
      <c r="F60" s="17"/>
      <c r="G60" s="17"/>
      <c r="H60" s="17"/>
      <c r="I60" s="17"/>
      <c r="J60" s="17"/>
      <c r="K60" s="17"/>
      <c r="L60" s="17"/>
      <c r="M60" s="17"/>
      <c r="N60" s="17"/>
      <c r="O60" s="17"/>
      <c r="P60" s="17"/>
      <c r="Q60" s="17"/>
      <c r="R60" s="17"/>
      <c r="S60" s="17"/>
    </row>
    <row r="61" spans="1:19" ht="15" customHeight="1" x14ac:dyDescent="0.2">
      <c r="B61" s="17"/>
      <c r="C61" s="17"/>
      <c r="D61" s="17"/>
      <c r="E61" s="17"/>
      <c r="F61" s="17"/>
      <c r="G61" s="17"/>
      <c r="H61" s="17"/>
      <c r="I61" s="17"/>
      <c r="J61" s="17"/>
      <c r="K61" s="17"/>
      <c r="L61" s="17"/>
      <c r="M61" s="17"/>
      <c r="N61" s="17"/>
      <c r="O61" s="17"/>
      <c r="P61" s="17"/>
      <c r="Q61" s="17"/>
      <c r="R61" s="17"/>
      <c r="S61" s="17"/>
    </row>
    <row r="62" spans="1:19" ht="15" customHeight="1" x14ac:dyDescent="0.2">
      <c r="B62" s="17"/>
      <c r="C62" s="17"/>
      <c r="D62" s="17"/>
      <c r="E62" s="17"/>
      <c r="F62" s="17"/>
      <c r="G62" s="17"/>
      <c r="H62" s="17"/>
      <c r="I62" s="17"/>
      <c r="J62" s="17"/>
      <c r="K62" s="17"/>
      <c r="L62" s="17"/>
      <c r="M62" s="17"/>
      <c r="N62" s="17"/>
      <c r="O62" s="17"/>
      <c r="P62" s="17"/>
      <c r="Q62" s="17"/>
      <c r="R62" s="17"/>
      <c r="S62" s="17"/>
    </row>
    <row r="63" spans="1:19" ht="15" customHeight="1" x14ac:dyDescent="0.2">
      <c r="B63" s="17"/>
      <c r="C63" s="17"/>
      <c r="D63" s="17"/>
      <c r="E63" s="17"/>
      <c r="F63" s="17"/>
      <c r="G63" s="17"/>
      <c r="H63" s="17"/>
      <c r="I63" s="17"/>
      <c r="J63" s="17"/>
      <c r="K63" s="17"/>
      <c r="L63" s="17"/>
      <c r="M63" s="17"/>
      <c r="N63" s="17"/>
      <c r="O63" s="17"/>
      <c r="P63" s="17"/>
      <c r="Q63" s="17"/>
      <c r="R63" s="17"/>
      <c r="S63" s="17"/>
    </row>
    <row r="64" spans="1:19" ht="15" customHeight="1" x14ac:dyDescent="0.2">
      <c r="B64" s="17"/>
      <c r="C64" s="17"/>
      <c r="D64" s="17"/>
      <c r="E64" s="17"/>
      <c r="F64" s="17"/>
      <c r="G64" s="17"/>
      <c r="H64" s="17"/>
      <c r="I64" s="17"/>
      <c r="J64" s="17"/>
      <c r="K64" s="17"/>
      <c r="L64" s="17"/>
      <c r="M64" s="17"/>
      <c r="N64" s="17"/>
      <c r="O64" s="17"/>
      <c r="P64" s="17"/>
      <c r="Q64" s="17"/>
      <c r="R64" s="17"/>
      <c r="S64" s="17"/>
    </row>
    <row r="65" spans="2:19" ht="15" customHeight="1" x14ac:dyDescent="0.2">
      <c r="B65" s="17"/>
      <c r="C65" s="17"/>
      <c r="D65" s="17"/>
      <c r="E65" s="17"/>
      <c r="F65" s="17"/>
      <c r="G65" s="17"/>
      <c r="H65" s="17"/>
      <c r="I65" s="17"/>
      <c r="J65" s="17"/>
      <c r="K65" s="17"/>
      <c r="L65" s="17"/>
      <c r="M65" s="17"/>
      <c r="N65" s="17"/>
      <c r="O65" s="17"/>
      <c r="P65" s="17"/>
      <c r="Q65" s="17"/>
      <c r="R65" s="17"/>
      <c r="S65" s="17"/>
    </row>
    <row r="66" spans="2:19" ht="15" customHeight="1" x14ac:dyDescent="0.2">
      <c r="B66" s="17"/>
      <c r="C66" s="17"/>
      <c r="D66" s="17"/>
      <c r="E66" s="17"/>
      <c r="F66" s="17"/>
      <c r="G66" s="17"/>
      <c r="H66" s="17"/>
      <c r="I66" s="17"/>
      <c r="J66" s="17"/>
      <c r="K66" s="17"/>
      <c r="L66" s="17"/>
      <c r="M66" s="17"/>
      <c r="N66" s="17"/>
      <c r="O66" s="17"/>
      <c r="P66" s="17"/>
      <c r="Q66" s="17"/>
      <c r="R66" s="17"/>
      <c r="S66" s="17"/>
    </row>
  </sheetData>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98E5-A71E-4272-B277-15D00A12277F}">
  <sheetPr>
    <tabColor rgb="FFFFFF00"/>
  </sheetPr>
  <dimension ref="A1:S66"/>
  <sheetViews>
    <sheetView zoomScaleNormal="100" workbookViewId="0">
      <selection activeCell="H26" sqref="H26"/>
    </sheetView>
  </sheetViews>
  <sheetFormatPr defaultRowHeight="15" customHeight="1" x14ac:dyDescent="0.2"/>
  <cols>
    <col min="1" max="1" width="29.28515625" bestFit="1" customWidth="1"/>
    <col min="2" max="2" width="11.140625" bestFit="1" customWidth="1"/>
    <col min="3" max="3" width="13.7109375" bestFit="1" customWidth="1"/>
    <col min="4" max="4" width="14.140625" bestFit="1" customWidth="1"/>
    <col min="5" max="5" width="11" bestFit="1" customWidth="1"/>
    <col min="6" max="7" width="12.28515625" bestFit="1" customWidth="1"/>
  </cols>
  <sheetData>
    <row r="1" spans="1:7" ht="23.25" customHeight="1" thickBot="1" x14ac:dyDescent="0.45">
      <c r="A1" s="69" t="s">
        <v>442</v>
      </c>
      <c r="B1" s="71"/>
      <c r="C1" s="71"/>
      <c r="D1" s="71"/>
      <c r="E1" s="71"/>
      <c r="F1" s="71"/>
      <c r="G1" s="71"/>
    </row>
    <row r="3" spans="1:7" ht="15" customHeight="1" x14ac:dyDescent="0.2">
      <c r="A3" s="18" t="s">
        <v>472</v>
      </c>
    </row>
    <row r="5" spans="1:7" ht="15" customHeight="1" x14ac:dyDescent="0.2">
      <c r="A5" s="13" t="s">
        <v>473</v>
      </c>
    </row>
    <row r="6" spans="1:7" ht="15" customHeight="1" x14ac:dyDescent="0.2">
      <c r="A6" s="13" t="s">
        <v>474</v>
      </c>
    </row>
    <row r="7" spans="1:7" ht="15" customHeight="1" x14ac:dyDescent="0.2">
      <c r="A7" s="13" t="s">
        <v>475</v>
      </c>
    </row>
    <row r="8" spans="1:7" ht="15" customHeight="1" x14ac:dyDescent="0.2">
      <c r="A8" s="13"/>
    </row>
    <row r="10" spans="1:7" ht="15" customHeight="1" x14ac:dyDescent="0.2">
      <c r="B10" s="18" t="s">
        <v>430</v>
      </c>
      <c r="C10" s="18" t="s">
        <v>429</v>
      </c>
      <c r="D10" s="18" t="s">
        <v>248</v>
      </c>
      <c r="E10" s="18" t="s">
        <v>258</v>
      </c>
      <c r="F10" s="18" t="s">
        <v>427</v>
      </c>
      <c r="G10" s="18" t="s">
        <v>428</v>
      </c>
    </row>
    <row r="11" spans="1:7" ht="15" customHeight="1" x14ac:dyDescent="0.2">
      <c r="B11" s="13"/>
      <c r="C11" s="13"/>
      <c r="D11" s="13"/>
      <c r="E11" s="13"/>
      <c r="F11" s="13"/>
      <c r="G11" s="13"/>
    </row>
    <row r="12" spans="1:7" ht="15" customHeight="1" x14ac:dyDescent="0.2">
      <c r="A12" s="60" t="s">
        <v>470</v>
      </c>
      <c r="B12" s="13"/>
      <c r="C12" s="13"/>
      <c r="D12" s="13"/>
      <c r="E12" s="13"/>
      <c r="F12" s="13"/>
      <c r="G12" s="13"/>
    </row>
    <row r="13" spans="1:7" ht="15" customHeight="1" x14ac:dyDescent="0.2">
      <c r="B13" s="13"/>
      <c r="C13" s="13"/>
      <c r="D13" s="13"/>
      <c r="E13" s="13"/>
      <c r="F13" s="13"/>
      <c r="G13" s="13"/>
    </row>
    <row r="14" spans="1:7" ht="15" customHeight="1" x14ac:dyDescent="0.2">
      <c r="A14" s="13" t="s">
        <v>462</v>
      </c>
      <c r="B14">
        <v>6</v>
      </c>
      <c r="C14">
        <v>6</v>
      </c>
      <c r="D14">
        <v>6</v>
      </c>
      <c r="E14" s="175"/>
      <c r="F14" s="175"/>
      <c r="G14" s="175"/>
    </row>
    <row r="15" spans="1:7" ht="15" customHeight="1" x14ac:dyDescent="0.2">
      <c r="A15" s="13" t="s">
        <v>464</v>
      </c>
      <c r="B15">
        <v>19.5</v>
      </c>
      <c r="C15">
        <v>19.5</v>
      </c>
      <c r="D15">
        <v>19.5</v>
      </c>
      <c r="E15" s="175"/>
      <c r="F15" s="175"/>
      <c r="G15" s="175"/>
    </row>
    <row r="16" spans="1:7" ht="15" customHeight="1" x14ac:dyDescent="0.2">
      <c r="A16" s="13" t="s">
        <v>465</v>
      </c>
      <c r="B16">
        <v>75</v>
      </c>
      <c r="C16">
        <v>75</v>
      </c>
      <c r="D16">
        <v>75</v>
      </c>
      <c r="E16">
        <v>79</v>
      </c>
      <c r="F16">
        <v>83</v>
      </c>
      <c r="G16">
        <v>83</v>
      </c>
    </row>
    <row r="17" spans="1:10" ht="15" customHeight="1" x14ac:dyDescent="0.2">
      <c r="A17" s="13"/>
    </row>
    <row r="18" spans="1:10" ht="15" customHeight="1" x14ac:dyDescent="0.2">
      <c r="A18" s="13" t="s">
        <v>463</v>
      </c>
      <c r="B18">
        <v>10</v>
      </c>
      <c r="C18">
        <v>10</v>
      </c>
      <c r="D18">
        <v>10</v>
      </c>
      <c r="E18">
        <v>11</v>
      </c>
      <c r="F18">
        <v>12</v>
      </c>
      <c r="G18">
        <v>12</v>
      </c>
    </row>
    <row r="20" spans="1:10" ht="15" customHeight="1" x14ac:dyDescent="0.2">
      <c r="A20" s="13" t="s">
        <v>467</v>
      </c>
      <c r="B20">
        <v>10</v>
      </c>
      <c r="C20">
        <v>10</v>
      </c>
      <c r="D20">
        <v>10</v>
      </c>
      <c r="E20">
        <v>10</v>
      </c>
      <c r="F20">
        <v>10</v>
      </c>
      <c r="G20">
        <v>10</v>
      </c>
      <c r="J20" s="13" t="s">
        <v>460</v>
      </c>
    </row>
    <row r="21" spans="1:10" ht="15" customHeight="1" x14ac:dyDescent="0.2">
      <c r="A21" s="13" t="s">
        <v>400</v>
      </c>
      <c r="B21">
        <v>18</v>
      </c>
      <c r="C21">
        <v>18</v>
      </c>
      <c r="D21">
        <v>18</v>
      </c>
      <c r="E21">
        <v>19</v>
      </c>
      <c r="F21">
        <v>20</v>
      </c>
      <c r="G21">
        <v>20</v>
      </c>
    </row>
    <row r="22" spans="1:10" ht="15" customHeight="1" x14ac:dyDescent="0.2">
      <c r="A22" s="13" t="s">
        <v>401</v>
      </c>
      <c r="B22">
        <v>27</v>
      </c>
      <c r="C22">
        <v>27</v>
      </c>
      <c r="D22">
        <v>27</v>
      </c>
      <c r="E22" s="175"/>
      <c r="F22" s="175"/>
      <c r="G22" s="175"/>
    </row>
    <row r="23" spans="1:10" ht="15" customHeight="1" x14ac:dyDescent="0.2">
      <c r="A23" s="13" t="s">
        <v>402</v>
      </c>
      <c r="B23">
        <v>39</v>
      </c>
      <c r="C23">
        <v>39</v>
      </c>
      <c r="D23">
        <v>39</v>
      </c>
      <c r="E23" s="175"/>
      <c r="F23" s="175"/>
      <c r="G23" s="175"/>
    </row>
    <row r="24" spans="1:10" ht="15" customHeight="1" x14ac:dyDescent="0.2">
      <c r="A24" s="13" t="s">
        <v>403</v>
      </c>
      <c r="B24">
        <v>75</v>
      </c>
      <c r="C24">
        <v>75</v>
      </c>
      <c r="D24">
        <v>75</v>
      </c>
      <c r="E24">
        <v>79</v>
      </c>
      <c r="F24">
        <v>83</v>
      </c>
      <c r="G24">
        <v>83</v>
      </c>
    </row>
    <row r="25" spans="1:10" ht="15" customHeight="1" x14ac:dyDescent="0.2">
      <c r="A25" s="13"/>
    </row>
    <row r="26" spans="1:10" ht="15" customHeight="1" x14ac:dyDescent="0.2">
      <c r="A26" s="13" t="s">
        <v>463</v>
      </c>
      <c r="B26">
        <v>33</v>
      </c>
      <c r="C26">
        <v>33</v>
      </c>
      <c r="D26">
        <v>33</v>
      </c>
      <c r="E26">
        <v>35</v>
      </c>
      <c r="F26">
        <v>37</v>
      </c>
      <c r="G26">
        <v>37</v>
      </c>
    </row>
    <row r="28" spans="1:10" ht="15" customHeight="1" x14ac:dyDescent="0.2">
      <c r="A28" s="152" t="s">
        <v>388</v>
      </c>
      <c r="B28" s="17">
        <v>8928</v>
      </c>
      <c r="C28" s="17">
        <v>12266</v>
      </c>
      <c r="D28" s="17">
        <v>14159</v>
      </c>
      <c r="E28" s="17">
        <v>15574.900000000001</v>
      </c>
      <c r="F28" s="17">
        <v>16197.896000000002</v>
      </c>
      <c r="G28" s="17">
        <v>16521.853920000001</v>
      </c>
      <c r="H28" s="17"/>
    </row>
    <row r="29" spans="1:10" ht="15" customHeight="1" x14ac:dyDescent="0.2">
      <c r="A29" s="152" t="s">
        <v>389</v>
      </c>
      <c r="B29" s="15">
        <v>12266</v>
      </c>
      <c r="C29" s="15">
        <v>14159</v>
      </c>
      <c r="D29" s="15">
        <v>15574.900000000001</v>
      </c>
      <c r="E29" s="15">
        <v>16197.896000000002</v>
      </c>
      <c r="F29" s="15">
        <v>16521.853920000001</v>
      </c>
      <c r="G29" s="15">
        <v>16852.290998400003</v>
      </c>
      <c r="H29" s="17"/>
    </row>
    <row r="30" spans="1:10" ht="15" customHeight="1" x14ac:dyDescent="0.2">
      <c r="A30" s="153" t="s">
        <v>393</v>
      </c>
      <c r="B30" s="17">
        <v>10597</v>
      </c>
      <c r="C30" s="17">
        <v>13212.5</v>
      </c>
      <c r="D30" s="17">
        <v>14866.95</v>
      </c>
      <c r="E30" s="17">
        <v>15886.398000000001</v>
      </c>
      <c r="F30" s="17">
        <v>16359.874960000001</v>
      </c>
      <c r="G30" s="17">
        <v>16687.072459200004</v>
      </c>
      <c r="H30" s="17"/>
    </row>
    <row r="31" spans="1:10" ht="15" customHeight="1" x14ac:dyDescent="0.2">
      <c r="A31" s="152"/>
    </row>
    <row r="32" spans="1:10" ht="15" customHeight="1" x14ac:dyDescent="0.2">
      <c r="A32" s="152" t="s">
        <v>390</v>
      </c>
      <c r="B32" s="151"/>
      <c r="C32" s="151">
        <v>0.15432903962171851</v>
      </c>
      <c r="D32" s="151">
        <v>0.10000000000000009</v>
      </c>
      <c r="E32" s="151">
        <v>4.0000000000000036E-2</v>
      </c>
      <c r="F32" s="151">
        <v>2.0000000000000018E-2</v>
      </c>
      <c r="G32" s="151">
        <v>2.0000000000000018E-2</v>
      </c>
      <c r="H32" s="151"/>
    </row>
    <row r="33" spans="1:19" ht="15" customHeight="1" x14ac:dyDescent="0.2">
      <c r="A33" s="152"/>
      <c r="B33" s="151"/>
      <c r="C33" s="151"/>
      <c r="D33" s="151"/>
      <c r="E33" s="151"/>
      <c r="F33" s="151"/>
      <c r="G33" s="151"/>
      <c r="H33" s="151"/>
    </row>
    <row r="34" spans="1:19" ht="15" customHeight="1" x14ac:dyDescent="0.2">
      <c r="A34" s="153" t="s">
        <v>466</v>
      </c>
      <c r="B34">
        <v>18</v>
      </c>
      <c r="C34">
        <v>18</v>
      </c>
      <c r="D34">
        <v>18</v>
      </c>
      <c r="E34">
        <v>18.900000000000002</v>
      </c>
      <c r="F34">
        <v>19.8</v>
      </c>
      <c r="G34">
        <v>19.8</v>
      </c>
    </row>
    <row r="35" spans="1:19" ht="15" customHeight="1" x14ac:dyDescent="0.2">
      <c r="A35" s="152" t="s">
        <v>461</v>
      </c>
      <c r="E35" s="86">
        <v>5.0000000000000044E-2</v>
      </c>
      <c r="F35" s="86">
        <v>4.761904761904745E-2</v>
      </c>
      <c r="G35" s="86">
        <v>0</v>
      </c>
    </row>
    <row r="36" spans="1:19" ht="15" customHeight="1" x14ac:dyDescent="0.2">
      <c r="A36" s="152"/>
      <c r="E36" s="86"/>
      <c r="F36" s="86"/>
      <c r="G36" s="86"/>
    </row>
    <row r="37" spans="1:19" ht="15" customHeight="1" x14ac:dyDescent="0.2">
      <c r="A37" s="174" t="s">
        <v>0</v>
      </c>
      <c r="E37" s="86"/>
      <c r="F37" s="86"/>
      <c r="G37" s="86"/>
    </row>
    <row r="39" spans="1:19" ht="15" customHeight="1" x14ac:dyDescent="0.2">
      <c r="A39" s="13" t="s">
        <v>431</v>
      </c>
      <c r="B39" s="17">
        <v>210805.06</v>
      </c>
      <c r="C39" s="17">
        <v>218253.32</v>
      </c>
      <c r="D39" s="17">
        <v>255000</v>
      </c>
      <c r="E39" s="17">
        <v>283929.0111</v>
      </c>
      <c r="F39" s="17">
        <v>312089.22320400004</v>
      </c>
      <c r="G39" s="17">
        <v>327164.77945008007</v>
      </c>
      <c r="H39" s="17"/>
      <c r="I39" s="17"/>
      <c r="J39" s="17"/>
      <c r="K39" s="17"/>
      <c r="L39" s="17"/>
      <c r="M39" s="17"/>
      <c r="N39" s="17"/>
      <c r="O39" s="17"/>
      <c r="P39" s="17"/>
      <c r="Q39" s="17"/>
      <c r="R39" s="17"/>
      <c r="S39" s="17"/>
    </row>
    <row r="40" spans="1:19" ht="15" customHeight="1" x14ac:dyDescent="0.2">
      <c r="A40" s="13" t="s">
        <v>432</v>
      </c>
      <c r="B40" s="17">
        <v>-10383.739999999991</v>
      </c>
      <c r="C40" s="17">
        <v>-11459</v>
      </c>
      <c r="D40" s="17">
        <v>-15600</v>
      </c>
      <c r="E40" s="17">
        <v>-11850</v>
      </c>
      <c r="F40" s="17">
        <v>-12442.5</v>
      </c>
      <c r="G40" s="17">
        <v>-13064.625</v>
      </c>
      <c r="H40" s="17"/>
      <c r="I40" s="17"/>
      <c r="J40" s="17"/>
      <c r="K40" s="17"/>
      <c r="L40" s="17"/>
      <c r="M40" s="17"/>
      <c r="N40" s="17"/>
      <c r="O40" s="17"/>
      <c r="P40" s="17"/>
      <c r="Q40" s="17"/>
      <c r="R40" s="17"/>
      <c r="S40" s="17"/>
    </row>
    <row r="41" spans="1:19" ht="15" customHeight="1" x14ac:dyDescent="0.2">
      <c r="A41" t="s">
        <v>139</v>
      </c>
      <c r="B41" s="17">
        <v>-16865.589999999997</v>
      </c>
      <c r="C41" s="17">
        <v>-46661.55</v>
      </c>
      <c r="D41" s="17">
        <v>-44490</v>
      </c>
      <c r="E41" s="17">
        <v>-48050</v>
      </c>
      <c r="F41" s="17">
        <v>-50452.5</v>
      </c>
      <c r="G41" s="17">
        <v>-52975.125</v>
      </c>
      <c r="H41" s="17"/>
      <c r="I41" s="17"/>
      <c r="J41" s="17"/>
      <c r="K41" s="17"/>
      <c r="L41" s="17"/>
      <c r="M41" s="17"/>
      <c r="N41" s="17"/>
      <c r="O41" s="17"/>
      <c r="P41" s="17"/>
      <c r="Q41" s="17"/>
      <c r="R41" s="17"/>
      <c r="S41" s="17"/>
    </row>
    <row r="42" spans="1:19" ht="15" customHeight="1" x14ac:dyDescent="0.2">
      <c r="A42" t="s">
        <v>135</v>
      </c>
      <c r="B42" s="17">
        <v>4187.84</v>
      </c>
      <c r="C42" s="17">
        <v>6714.6299999999974</v>
      </c>
      <c r="D42" s="17">
        <v>500</v>
      </c>
      <c r="E42" s="17">
        <v>0</v>
      </c>
      <c r="F42" s="17">
        <v>0</v>
      </c>
      <c r="G42" s="17">
        <v>0</v>
      </c>
      <c r="H42" s="17"/>
      <c r="I42" s="17"/>
      <c r="J42" s="17"/>
      <c r="K42" s="17"/>
      <c r="L42" s="17"/>
      <c r="M42" s="17"/>
      <c r="N42" s="17"/>
      <c r="O42" s="17"/>
      <c r="P42" s="17"/>
      <c r="Q42" s="17"/>
      <c r="R42" s="17"/>
      <c r="S42" s="17"/>
    </row>
    <row r="43" spans="1:19" ht="15" customHeight="1" x14ac:dyDescent="0.2">
      <c r="A43" t="s">
        <v>134</v>
      </c>
      <c r="B43" s="17">
        <v>-88352.88</v>
      </c>
      <c r="C43" s="17">
        <v>-19545.63</v>
      </c>
      <c r="D43" s="17">
        <v>-65500</v>
      </c>
      <c r="E43" s="17">
        <v>-70000</v>
      </c>
      <c r="F43" s="17">
        <v>-73500</v>
      </c>
      <c r="G43" s="17">
        <v>-77175</v>
      </c>
      <c r="H43" s="17"/>
      <c r="I43" s="17"/>
      <c r="J43" s="17"/>
      <c r="K43" s="17"/>
      <c r="L43" s="17"/>
      <c r="M43" s="17"/>
      <c r="N43" s="17"/>
      <c r="O43" s="17"/>
      <c r="P43" s="17"/>
      <c r="Q43" s="17"/>
      <c r="R43" s="17"/>
      <c r="S43" s="17"/>
    </row>
    <row r="44" spans="1:19" ht="15" customHeight="1" x14ac:dyDescent="0.2">
      <c r="A44" t="s">
        <v>137</v>
      </c>
      <c r="B44" s="17">
        <v>-1156.619999999999</v>
      </c>
      <c r="C44" s="17">
        <v>-10126.029999999999</v>
      </c>
      <c r="D44" s="17">
        <v>-12500</v>
      </c>
      <c r="E44" s="17">
        <v>-12500</v>
      </c>
      <c r="F44" s="17">
        <v>-13125</v>
      </c>
      <c r="G44" s="17">
        <v>-13781.25</v>
      </c>
      <c r="H44" s="17"/>
      <c r="I44" s="17"/>
      <c r="J44" s="17"/>
      <c r="K44" s="17"/>
      <c r="L44" s="17"/>
      <c r="M44" s="17"/>
      <c r="N44" s="17"/>
      <c r="O44" s="17"/>
      <c r="P44" s="17"/>
      <c r="Q44" s="17"/>
      <c r="R44" s="17"/>
      <c r="S44" s="17"/>
    </row>
    <row r="45" spans="1:19" ht="15" customHeight="1" x14ac:dyDescent="0.2">
      <c r="A45" t="s">
        <v>136</v>
      </c>
      <c r="B45" s="17">
        <v>-126939.03</v>
      </c>
      <c r="C45" s="17">
        <v>-144379.04</v>
      </c>
      <c r="D45" s="17">
        <v>-143372</v>
      </c>
      <c r="E45" s="17">
        <v>-148558.1</v>
      </c>
      <c r="F45" s="17">
        <v>-155986.005</v>
      </c>
      <c r="G45" s="17">
        <v>-163785.30525</v>
      </c>
      <c r="H45" s="17"/>
      <c r="I45" s="17"/>
      <c r="J45" s="17"/>
      <c r="K45" s="17"/>
      <c r="L45" s="17"/>
      <c r="M45" s="17"/>
      <c r="N45" s="17"/>
      <c r="O45" s="17"/>
      <c r="P45" s="17"/>
      <c r="Q45" s="17"/>
      <c r="R45" s="17"/>
      <c r="S45" s="17"/>
    </row>
    <row r="46" spans="1:19" ht="15" hidden="1" customHeight="1" x14ac:dyDescent="0.2">
      <c r="A46" t="s">
        <v>351</v>
      </c>
      <c r="B46" s="17">
        <v>0</v>
      </c>
      <c r="C46" s="17">
        <v>0</v>
      </c>
      <c r="D46" s="17">
        <v>0</v>
      </c>
      <c r="E46" s="17">
        <v>0</v>
      </c>
      <c r="F46" s="17"/>
      <c r="G46" s="17"/>
      <c r="H46" s="17"/>
      <c r="I46" s="17"/>
      <c r="J46" s="17"/>
      <c r="K46" s="17"/>
      <c r="L46" s="17"/>
      <c r="M46" s="17"/>
      <c r="N46" s="17"/>
      <c r="O46" s="17"/>
      <c r="P46" s="17"/>
      <c r="Q46" s="17"/>
      <c r="R46" s="17"/>
      <c r="S46" s="17"/>
    </row>
    <row r="47" spans="1:19" ht="15" hidden="1" customHeight="1" x14ac:dyDescent="0.2">
      <c r="A47" t="s">
        <v>149</v>
      </c>
      <c r="B47" s="17">
        <v>0</v>
      </c>
      <c r="C47" s="17">
        <v>0</v>
      </c>
      <c r="D47" s="17">
        <v>0</v>
      </c>
      <c r="E47" s="17">
        <v>0</v>
      </c>
      <c r="F47" s="17"/>
      <c r="G47" s="17"/>
      <c r="H47" s="17"/>
      <c r="I47" s="17"/>
      <c r="J47" s="17"/>
      <c r="K47" s="17"/>
      <c r="L47" s="17"/>
      <c r="M47" s="17"/>
      <c r="N47" s="17"/>
      <c r="O47" s="17"/>
      <c r="P47" s="17"/>
      <c r="Q47" s="17"/>
      <c r="R47" s="17"/>
      <c r="S47" s="17"/>
    </row>
    <row r="48" spans="1:19" ht="15" customHeight="1" x14ac:dyDescent="0.2">
      <c r="B48" s="17"/>
      <c r="C48" s="17"/>
      <c r="D48" s="17"/>
      <c r="E48" s="17"/>
      <c r="F48" s="17"/>
      <c r="G48" s="17"/>
      <c r="H48" s="17"/>
      <c r="I48" s="17"/>
      <c r="J48" s="17"/>
      <c r="K48" s="17"/>
      <c r="L48" s="17"/>
      <c r="M48" s="17"/>
      <c r="N48" s="17"/>
      <c r="O48" s="17"/>
      <c r="P48" s="17"/>
      <c r="Q48" s="17"/>
      <c r="R48" s="17"/>
      <c r="S48" s="17"/>
    </row>
    <row r="49" spans="1:19" ht="15" customHeight="1" x14ac:dyDescent="0.2">
      <c r="A49" s="65" t="s">
        <v>439</v>
      </c>
      <c r="B49" s="167">
        <v>-28704.959999999992</v>
      </c>
      <c r="C49" s="167">
        <v>-7203.2999999999884</v>
      </c>
      <c r="D49" s="167">
        <v>-25962</v>
      </c>
      <c r="E49" s="167">
        <v>-7029.0889000000025</v>
      </c>
      <c r="F49" s="167">
        <v>6583.2182040000334</v>
      </c>
      <c r="G49" s="167">
        <v>6383.4742000800616</v>
      </c>
      <c r="H49" s="17"/>
      <c r="I49" s="17"/>
      <c r="J49" s="17"/>
      <c r="K49" s="17"/>
      <c r="L49" s="17"/>
      <c r="M49" s="17"/>
      <c r="N49" s="17"/>
      <c r="O49" s="17"/>
      <c r="P49" s="17"/>
      <c r="Q49" s="17"/>
      <c r="R49" s="17"/>
      <c r="S49" s="17"/>
    </row>
    <row r="50" spans="1:19" ht="15" customHeight="1" x14ac:dyDescent="0.2">
      <c r="B50" s="17"/>
      <c r="C50" s="17"/>
      <c r="D50" s="17"/>
      <c r="E50" s="17"/>
      <c r="F50" s="17"/>
      <c r="G50" s="17"/>
      <c r="H50" s="17"/>
      <c r="I50" s="17"/>
      <c r="J50" s="17"/>
      <c r="K50" s="17"/>
      <c r="L50" s="17"/>
      <c r="M50" s="17"/>
      <c r="N50" s="17"/>
      <c r="O50" s="17"/>
      <c r="P50" s="17"/>
      <c r="Q50" s="17"/>
      <c r="R50" s="17"/>
      <c r="S50" s="17"/>
    </row>
    <row r="51" spans="1:19" ht="15" customHeight="1" x14ac:dyDescent="0.2">
      <c r="A51" s="13" t="s">
        <v>349</v>
      </c>
      <c r="B51" s="17">
        <v>0</v>
      </c>
      <c r="C51" s="17">
        <v>0</v>
      </c>
      <c r="D51" s="17">
        <v>200000</v>
      </c>
      <c r="E51" s="17">
        <v>300000</v>
      </c>
      <c r="F51" s="17">
        <v>0</v>
      </c>
      <c r="G51" s="17">
        <v>0</v>
      </c>
      <c r="H51" s="17"/>
      <c r="I51" s="17"/>
      <c r="J51" s="17"/>
      <c r="K51" s="17"/>
      <c r="L51" s="17"/>
      <c r="M51" s="17"/>
      <c r="N51" s="17"/>
      <c r="O51" s="17"/>
      <c r="P51" s="17"/>
      <c r="Q51" s="17"/>
      <c r="R51" s="17"/>
      <c r="S51" s="17"/>
    </row>
    <row r="52" spans="1:19" ht="15" customHeight="1" x14ac:dyDescent="0.2">
      <c r="A52" s="13" t="s">
        <v>350</v>
      </c>
      <c r="B52" s="17">
        <v>0</v>
      </c>
      <c r="C52" s="17">
        <v>0</v>
      </c>
      <c r="D52" s="17">
        <v>-194000</v>
      </c>
      <c r="E52" s="17">
        <v>-300000</v>
      </c>
      <c r="F52" s="17">
        <v>0</v>
      </c>
      <c r="G52" s="17">
        <v>0</v>
      </c>
      <c r="H52" s="17"/>
      <c r="I52" s="17"/>
      <c r="J52" s="17"/>
      <c r="K52" s="17"/>
      <c r="L52" s="17"/>
      <c r="M52" s="17"/>
      <c r="N52" s="17"/>
      <c r="O52" s="17"/>
      <c r="P52" s="17"/>
      <c r="Q52" s="17"/>
      <c r="R52" s="17"/>
      <c r="S52" s="17"/>
    </row>
    <row r="53" spans="1:19" ht="15" customHeight="1" x14ac:dyDescent="0.2">
      <c r="B53" s="17"/>
      <c r="C53" s="17"/>
      <c r="D53" s="17"/>
      <c r="E53" s="17"/>
      <c r="F53" s="17"/>
      <c r="G53" s="17"/>
      <c r="H53" s="17"/>
      <c r="I53" s="17"/>
      <c r="J53" s="17"/>
      <c r="K53" s="17"/>
      <c r="L53" s="17"/>
      <c r="M53" s="17"/>
      <c r="N53" s="17"/>
      <c r="O53" s="17"/>
      <c r="P53" s="17"/>
      <c r="Q53" s="17"/>
      <c r="R53" s="17"/>
      <c r="S53" s="17"/>
    </row>
    <row r="54" spans="1:19" ht="15" customHeight="1" x14ac:dyDescent="0.2">
      <c r="A54" s="13" t="s">
        <v>440</v>
      </c>
      <c r="B54" s="17">
        <v>112926</v>
      </c>
      <c r="C54" s="17">
        <v>84221.040000000008</v>
      </c>
      <c r="D54" s="17">
        <v>77017.74000000002</v>
      </c>
      <c r="E54" s="17">
        <v>57055.74000000002</v>
      </c>
      <c r="F54" s="17">
        <v>50026.651100000017</v>
      </c>
      <c r="G54" s="17">
        <v>56609.869304000051</v>
      </c>
      <c r="H54" s="17"/>
      <c r="I54" s="17"/>
      <c r="J54" s="17"/>
      <c r="K54" s="17"/>
      <c r="L54" s="17"/>
      <c r="M54" s="17"/>
      <c r="N54" s="17"/>
      <c r="O54" s="17"/>
      <c r="P54" s="17"/>
      <c r="Q54" s="17"/>
      <c r="R54" s="17"/>
      <c r="S54" s="17"/>
    </row>
    <row r="55" spans="1:19" ht="15" customHeight="1" x14ac:dyDescent="0.2">
      <c r="B55" s="17"/>
      <c r="C55" s="17"/>
      <c r="D55" s="17"/>
      <c r="E55" s="17"/>
      <c r="F55" s="17"/>
      <c r="G55" s="17"/>
      <c r="H55" s="17"/>
      <c r="I55" s="17"/>
      <c r="J55" s="17"/>
      <c r="K55" s="17"/>
      <c r="L55" s="17"/>
      <c r="M55" s="17"/>
      <c r="N55" s="17"/>
      <c r="O55" s="17"/>
      <c r="P55" s="17"/>
      <c r="Q55" s="17"/>
      <c r="R55" s="17"/>
      <c r="S55" s="17"/>
    </row>
    <row r="56" spans="1:19" ht="15" customHeight="1" thickBot="1" x14ac:dyDescent="0.25">
      <c r="A56" s="165" t="s">
        <v>441</v>
      </c>
      <c r="B56" s="166">
        <v>84221.040000000008</v>
      </c>
      <c r="C56" s="166">
        <v>77017.74000000002</v>
      </c>
      <c r="D56" s="166">
        <v>57055.74000000002</v>
      </c>
      <c r="E56" s="166">
        <v>50026.651100000017</v>
      </c>
      <c r="F56" s="166">
        <v>56609.869304000051</v>
      </c>
      <c r="G56" s="166">
        <v>62993.343504080112</v>
      </c>
      <c r="H56" s="17"/>
      <c r="I56" s="17"/>
      <c r="J56" s="17"/>
      <c r="K56" s="17"/>
      <c r="L56" s="17"/>
      <c r="M56" s="17"/>
      <c r="N56" s="17"/>
      <c r="O56" s="17"/>
      <c r="P56" s="17"/>
      <c r="Q56" s="17"/>
      <c r="R56" s="17"/>
      <c r="S56" s="17"/>
    </row>
    <row r="57" spans="1:19" ht="15" customHeight="1" thickTop="1" x14ac:dyDescent="0.2">
      <c r="B57" s="17"/>
      <c r="C57" s="17"/>
      <c r="D57" s="17"/>
      <c r="E57" s="17"/>
      <c r="F57" s="17"/>
      <c r="G57" s="17"/>
      <c r="H57" s="17"/>
      <c r="I57" s="17"/>
      <c r="J57" s="17"/>
      <c r="K57" s="17"/>
      <c r="L57" s="17"/>
      <c r="M57" s="17"/>
      <c r="N57" s="17"/>
      <c r="O57" s="17"/>
      <c r="P57" s="17"/>
      <c r="Q57" s="17"/>
      <c r="R57" s="17"/>
      <c r="S57" s="17"/>
    </row>
    <row r="58" spans="1:19" ht="15" customHeight="1" x14ac:dyDescent="0.2">
      <c r="B58" s="17"/>
      <c r="C58" s="17"/>
      <c r="D58" s="17"/>
      <c r="E58" s="17"/>
      <c r="F58" s="17"/>
      <c r="G58" s="17"/>
      <c r="H58" s="17"/>
      <c r="I58" s="17"/>
      <c r="J58" s="17"/>
      <c r="K58" s="17"/>
      <c r="L58" s="17"/>
      <c r="M58" s="17"/>
      <c r="N58" s="17"/>
      <c r="O58" s="17"/>
      <c r="P58" s="17"/>
      <c r="Q58" s="17"/>
      <c r="R58" s="17"/>
      <c r="S58" s="17"/>
    </row>
    <row r="59" spans="1:19" ht="15" customHeight="1" x14ac:dyDescent="0.2">
      <c r="A59" s="13" t="s">
        <v>207</v>
      </c>
      <c r="B59" s="17"/>
      <c r="C59" s="17"/>
      <c r="D59" s="17"/>
      <c r="E59" s="17"/>
      <c r="F59" s="17"/>
      <c r="G59" s="17"/>
      <c r="H59" s="17"/>
      <c r="I59" s="17"/>
      <c r="J59" s="17"/>
      <c r="K59" s="17"/>
      <c r="L59" s="17"/>
      <c r="M59" s="17"/>
      <c r="N59" s="17"/>
      <c r="O59" s="17"/>
      <c r="P59" s="17"/>
      <c r="Q59" s="17"/>
      <c r="R59" s="17"/>
      <c r="S59" s="17"/>
    </row>
    <row r="60" spans="1:19" ht="15" customHeight="1" x14ac:dyDescent="0.2">
      <c r="A60" s="13" t="s">
        <v>443</v>
      </c>
      <c r="B60" s="17"/>
      <c r="C60" s="17"/>
      <c r="D60" s="17"/>
      <c r="E60" s="17"/>
      <c r="F60" s="17"/>
      <c r="G60" s="17"/>
      <c r="H60" s="17"/>
      <c r="I60" s="17"/>
      <c r="J60" s="17"/>
      <c r="K60" s="17"/>
      <c r="L60" s="17"/>
      <c r="M60" s="17"/>
      <c r="N60" s="17"/>
      <c r="O60" s="17"/>
      <c r="P60" s="17"/>
      <c r="Q60" s="17"/>
      <c r="R60" s="17"/>
      <c r="S60" s="17"/>
    </row>
    <row r="61" spans="1:19" ht="15" customHeight="1" x14ac:dyDescent="0.2">
      <c r="B61" s="17"/>
      <c r="C61" s="17"/>
      <c r="D61" s="17"/>
      <c r="E61" s="17"/>
      <c r="F61" s="17"/>
      <c r="G61" s="17"/>
      <c r="H61" s="17"/>
      <c r="I61" s="17"/>
      <c r="J61" s="17"/>
      <c r="K61" s="17"/>
      <c r="L61" s="17"/>
      <c r="M61" s="17"/>
      <c r="N61" s="17"/>
      <c r="O61" s="17"/>
      <c r="P61" s="17"/>
      <c r="Q61" s="17"/>
      <c r="R61" s="17"/>
      <c r="S61" s="17"/>
    </row>
    <row r="62" spans="1:19" ht="15" customHeight="1" x14ac:dyDescent="0.2">
      <c r="B62" s="17"/>
      <c r="C62" s="17"/>
      <c r="D62" s="17"/>
      <c r="E62" s="17"/>
      <c r="F62" s="17"/>
      <c r="G62" s="17"/>
      <c r="H62" s="17"/>
      <c r="I62" s="17"/>
      <c r="J62" s="17"/>
      <c r="K62" s="17"/>
      <c r="L62" s="17"/>
      <c r="M62" s="17"/>
      <c r="N62" s="17"/>
      <c r="O62" s="17"/>
      <c r="P62" s="17"/>
      <c r="Q62" s="17"/>
      <c r="R62" s="17"/>
      <c r="S62" s="17"/>
    </row>
    <row r="63" spans="1:19" ht="15" customHeight="1" x14ac:dyDescent="0.2">
      <c r="B63" s="17"/>
      <c r="C63" s="17"/>
      <c r="D63" s="17"/>
      <c r="E63" s="17"/>
      <c r="F63" s="17"/>
      <c r="G63" s="17"/>
      <c r="H63" s="17"/>
      <c r="I63" s="17"/>
      <c r="J63" s="17"/>
      <c r="K63" s="17"/>
      <c r="L63" s="17"/>
      <c r="M63" s="17"/>
      <c r="N63" s="17"/>
      <c r="O63" s="17"/>
      <c r="P63" s="17"/>
      <c r="Q63" s="17"/>
      <c r="R63" s="17"/>
      <c r="S63" s="17"/>
    </row>
    <row r="64" spans="1:19" ht="15" customHeight="1" x14ac:dyDescent="0.2">
      <c r="B64" s="17"/>
      <c r="C64" s="17"/>
      <c r="D64" s="17"/>
      <c r="E64" s="17"/>
      <c r="F64" s="17"/>
      <c r="G64" s="17"/>
      <c r="H64" s="17"/>
      <c r="I64" s="17"/>
      <c r="J64" s="17"/>
      <c r="K64" s="17"/>
      <c r="L64" s="17"/>
      <c r="M64" s="17"/>
      <c r="N64" s="17"/>
      <c r="O64" s="17"/>
      <c r="P64" s="17"/>
      <c r="Q64" s="17"/>
      <c r="R64" s="17"/>
      <c r="S64" s="17"/>
    </row>
    <row r="65" spans="2:19" ht="15" customHeight="1" x14ac:dyDescent="0.2">
      <c r="B65" s="17"/>
      <c r="C65" s="17"/>
      <c r="D65" s="17"/>
      <c r="E65" s="17"/>
      <c r="F65" s="17"/>
      <c r="G65" s="17"/>
      <c r="H65" s="17"/>
      <c r="I65" s="17"/>
      <c r="J65" s="17"/>
      <c r="K65" s="17"/>
      <c r="L65" s="17"/>
      <c r="M65" s="17"/>
      <c r="N65" s="17"/>
      <c r="O65" s="17"/>
      <c r="P65" s="17"/>
      <c r="Q65" s="17"/>
      <c r="R65" s="17"/>
      <c r="S65" s="17"/>
    </row>
    <row r="66" spans="2:19" ht="15" customHeight="1" x14ac:dyDescent="0.2">
      <c r="B66" s="17"/>
      <c r="C66" s="17"/>
      <c r="D66" s="17"/>
      <c r="E66" s="17"/>
      <c r="F66" s="17"/>
      <c r="G66" s="17"/>
      <c r="H66" s="17"/>
      <c r="I66" s="17"/>
      <c r="J66" s="17"/>
      <c r="K66" s="17"/>
      <c r="L66" s="17"/>
      <c r="M66" s="17"/>
      <c r="N66" s="17"/>
      <c r="O66" s="17"/>
      <c r="P66" s="17"/>
      <c r="Q66" s="17"/>
      <c r="R66" s="17"/>
      <c r="S66" s="17"/>
    </row>
  </sheetData>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CF59-6D4C-4EAF-A96D-39BD03E1BE11}">
  <sheetPr>
    <tabColor rgb="FFFFFF00"/>
  </sheetPr>
  <dimension ref="A1:S66"/>
  <sheetViews>
    <sheetView zoomScaleNormal="100" workbookViewId="0">
      <selection activeCell="H26" sqref="H26"/>
    </sheetView>
  </sheetViews>
  <sheetFormatPr defaultRowHeight="15" customHeight="1" x14ac:dyDescent="0.2"/>
  <cols>
    <col min="1" max="1" width="29.28515625" bestFit="1" customWidth="1"/>
    <col min="2" max="2" width="11.140625" bestFit="1" customWidth="1"/>
    <col min="3" max="3" width="13.7109375" bestFit="1" customWidth="1"/>
    <col min="4" max="4" width="14.140625" bestFit="1" customWidth="1"/>
    <col min="5" max="5" width="11" bestFit="1" customWidth="1"/>
    <col min="6" max="7" width="12.28515625" bestFit="1" customWidth="1"/>
  </cols>
  <sheetData>
    <row r="1" spans="1:7" ht="23.25" customHeight="1" thickBot="1" x14ac:dyDescent="0.45">
      <c r="A1" s="69" t="s">
        <v>442</v>
      </c>
      <c r="B1" s="71"/>
      <c r="C1" s="71"/>
      <c r="D1" s="71"/>
      <c r="E1" s="71"/>
      <c r="F1" s="71"/>
      <c r="G1" s="71"/>
    </row>
    <row r="3" spans="1:7" ht="15" customHeight="1" x14ac:dyDescent="0.2">
      <c r="A3" s="18" t="s">
        <v>476</v>
      </c>
    </row>
    <row r="5" spans="1:7" ht="15" customHeight="1" x14ac:dyDescent="0.2">
      <c r="A5" s="13" t="s">
        <v>477</v>
      </c>
    </row>
    <row r="6" spans="1:7" ht="15" customHeight="1" x14ac:dyDescent="0.2">
      <c r="A6" s="13" t="s">
        <v>478</v>
      </c>
    </row>
    <row r="7" spans="1:7" ht="15" customHeight="1" x14ac:dyDescent="0.2">
      <c r="A7" s="13" t="s">
        <v>479</v>
      </c>
    </row>
    <row r="8" spans="1:7" ht="15" customHeight="1" x14ac:dyDescent="0.2">
      <c r="A8" s="13"/>
    </row>
    <row r="10" spans="1:7" ht="15" customHeight="1" x14ac:dyDescent="0.2">
      <c r="B10" s="18" t="s">
        <v>430</v>
      </c>
      <c r="C10" s="18" t="s">
        <v>429</v>
      </c>
      <c r="D10" s="18" t="s">
        <v>248</v>
      </c>
      <c r="E10" s="18" t="s">
        <v>258</v>
      </c>
      <c r="F10" s="18" t="s">
        <v>427</v>
      </c>
      <c r="G10" s="18" t="s">
        <v>428</v>
      </c>
    </row>
    <row r="11" spans="1:7" ht="15" customHeight="1" x14ac:dyDescent="0.2">
      <c r="B11" s="13"/>
      <c r="C11" s="13"/>
      <c r="D11" s="13"/>
      <c r="E11" s="13"/>
      <c r="F11" s="13"/>
      <c r="G11" s="13"/>
    </row>
    <row r="12" spans="1:7" ht="15" customHeight="1" x14ac:dyDescent="0.2">
      <c r="A12" s="60" t="s">
        <v>470</v>
      </c>
      <c r="B12" s="13"/>
      <c r="C12" s="13"/>
      <c r="D12" s="13"/>
      <c r="E12" s="13"/>
      <c r="F12" s="13"/>
      <c r="G12" s="13"/>
    </row>
    <row r="13" spans="1:7" ht="15" customHeight="1" x14ac:dyDescent="0.2">
      <c r="B13" s="13"/>
      <c r="C13" s="13"/>
      <c r="D13" s="13"/>
      <c r="E13" s="13"/>
      <c r="F13" s="13"/>
      <c r="G13" s="13"/>
    </row>
    <row r="14" spans="1:7" ht="15" customHeight="1" x14ac:dyDescent="0.2">
      <c r="A14" s="13" t="s">
        <v>462</v>
      </c>
      <c r="B14">
        <v>6</v>
      </c>
      <c r="C14">
        <v>6</v>
      </c>
      <c r="D14">
        <v>6</v>
      </c>
      <c r="E14" s="175"/>
      <c r="F14" s="175"/>
      <c r="G14" s="175"/>
    </row>
    <row r="15" spans="1:7" ht="15" customHeight="1" x14ac:dyDescent="0.2">
      <c r="A15" s="13" t="s">
        <v>464</v>
      </c>
      <c r="B15">
        <v>19.5</v>
      </c>
      <c r="C15">
        <v>19.5</v>
      </c>
      <c r="D15">
        <v>19.5</v>
      </c>
      <c r="E15" s="175"/>
      <c r="F15" s="175"/>
      <c r="G15" s="175"/>
    </row>
    <row r="16" spans="1:7" ht="15" customHeight="1" x14ac:dyDescent="0.2">
      <c r="A16" s="13" t="s">
        <v>465</v>
      </c>
      <c r="B16">
        <v>75</v>
      </c>
      <c r="C16">
        <v>75</v>
      </c>
      <c r="D16">
        <v>75</v>
      </c>
      <c r="E16">
        <v>83</v>
      </c>
      <c r="F16">
        <v>83</v>
      </c>
      <c r="G16">
        <v>83</v>
      </c>
    </row>
    <row r="17" spans="1:10" ht="15" customHeight="1" x14ac:dyDescent="0.2">
      <c r="A17" s="13"/>
    </row>
    <row r="18" spans="1:10" ht="15" customHeight="1" x14ac:dyDescent="0.2">
      <c r="A18" s="13" t="s">
        <v>463</v>
      </c>
      <c r="B18">
        <v>10</v>
      </c>
      <c r="C18">
        <v>10</v>
      </c>
      <c r="D18">
        <v>10</v>
      </c>
      <c r="E18">
        <v>12</v>
      </c>
      <c r="F18">
        <v>12</v>
      </c>
      <c r="G18">
        <v>12</v>
      </c>
    </row>
    <row r="20" spans="1:10" ht="15" customHeight="1" x14ac:dyDescent="0.2">
      <c r="A20" s="13" t="s">
        <v>467</v>
      </c>
      <c r="B20">
        <v>10</v>
      </c>
      <c r="C20">
        <v>10</v>
      </c>
      <c r="D20">
        <v>10</v>
      </c>
      <c r="E20">
        <v>10</v>
      </c>
      <c r="F20">
        <v>10</v>
      </c>
      <c r="G20">
        <v>10</v>
      </c>
      <c r="J20" s="13" t="s">
        <v>460</v>
      </c>
    </row>
    <row r="21" spans="1:10" ht="15" customHeight="1" x14ac:dyDescent="0.2">
      <c r="A21" s="13" t="s">
        <v>400</v>
      </c>
      <c r="B21">
        <v>18</v>
      </c>
      <c r="C21">
        <v>18</v>
      </c>
      <c r="D21">
        <v>18</v>
      </c>
      <c r="E21">
        <v>20</v>
      </c>
      <c r="F21">
        <v>20</v>
      </c>
      <c r="G21">
        <v>20</v>
      </c>
    </row>
    <row r="22" spans="1:10" ht="15" customHeight="1" x14ac:dyDescent="0.2">
      <c r="A22" s="13" t="s">
        <v>401</v>
      </c>
      <c r="B22">
        <v>27</v>
      </c>
      <c r="C22">
        <v>27</v>
      </c>
      <c r="D22">
        <v>27</v>
      </c>
      <c r="E22" s="175"/>
      <c r="F22" s="175"/>
      <c r="G22" s="175"/>
    </row>
    <row r="23" spans="1:10" ht="15" customHeight="1" x14ac:dyDescent="0.2">
      <c r="A23" s="13" t="s">
        <v>402</v>
      </c>
      <c r="B23">
        <v>39</v>
      </c>
      <c r="C23">
        <v>39</v>
      </c>
      <c r="D23">
        <v>39</v>
      </c>
      <c r="E23" s="175"/>
      <c r="F23" s="175"/>
      <c r="G23" s="175"/>
    </row>
    <row r="24" spans="1:10" ht="15" customHeight="1" x14ac:dyDescent="0.2">
      <c r="A24" s="13" t="s">
        <v>403</v>
      </c>
      <c r="B24">
        <v>75</v>
      </c>
      <c r="C24">
        <v>75</v>
      </c>
      <c r="D24">
        <v>75</v>
      </c>
      <c r="E24">
        <v>83</v>
      </c>
      <c r="F24">
        <v>83</v>
      </c>
      <c r="G24">
        <v>83</v>
      </c>
    </row>
    <row r="25" spans="1:10" ht="15" customHeight="1" x14ac:dyDescent="0.2">
      <c r="A25" s="13"/>
    </row>
    <row r="26" spans="1:10" ht="15" customHeight="1" x14ac:dyDescent="0.2">
      <c r="A26" s="13" t="s">
        <v>463</v>
      </c>
      <c r="B26">
        <v>33</v>
      </c>
      <c r="C26">
        <v>33</v>
      </c>
      <c r="D26">
        <v>33</v>
      </c>
      <c r="E26">
        <v>37</v>
      </c>
      <c r="F26">
        <v>37</v>
      </c>
      <c r="G26">
        <v>37</v>
      </c>
    </row>
    <row r="28" spans="1:10" ht="15" customHeight="1" x14ac:dyDescent="0.2">
      <c r="A28" s="152" t="s">
        <v>388</v>
      </c>
      <c r="B28" s="17">
        <v>8928</v>
      </c>
      <c r="C28" s="17">
        <v>12266</v>
      </c>
      <c r="D28" s="17">
        <v>14159</v>
      </c>
      <c r="E28" s="17">
        <v>15574.900000000001</v>
      </c>
      <c r="F28" s="17">
        <v>16197.896000000002</v>
      </c>
      <c r="G28" s="17">
        <v>16521.853920000001</v>
      </c>
      <c r="H28" s="17"/>
    </row>
    <row r="29" spans="1:10" ht="15" customHeight="1" x14ac:dyDescent="0.2">
      <c r="A29" s="152" t="s">
        <v>389</v>
      </c>
      <c r="B29" s="15">
        <v>12266</v>
      </c>
      <c r="C29" s="15">
        <v>14159</v>
      </c>
      <c r="D29" s="15">
        <v>15574.900000000001</v>
      </c>
      <c r="E29" s="15">
        <v>16197.896000000002</v>
      </c>
      <c r="F29" s="15">
        <v>16521.853920000001</v>
      </c>
      <c r="G29" s="15">
        <v>16852.290998400003</v>
      </c>
      <c r="H29" s="17"/>
    </row>
    <row r="30" spans="1:10" ht="15" customHeight="1" x14ac:dyDescent="0.2">
      <c r="A30" s="153" t="s">
        <v>393</v>
      </c>
      <c r="B30" s="17">
        <v>10597</v>
      </c>
      <c r="C30" s="17">
        <v>13212.5</v>
      </c>
      <c r="D30" s="17">
        <v>14866.95</v>
      </c>
      <c r="E30" s="17">
        <v>15886.398000000001</v>
      </c>
      <c r="F30" s="17">
        <v>16359.874960000001</v>
      </c>
      <c r="G30" s="17">
        <v>16687.072459200004</v>
      </c>
      <c r="H30" s="17"/>
    </row>
    <row r="31" spans="1:10" ht="15" customHeight="1" x14ac:dyDescent="0.2">
      <c r="A31" s="152"/>
    </row>
    <row r="32" spans="1:10" ht="15" customHeight="1" x14ac:dyDescent="0.2">
      <c r="A32" s="152" t="s">
        <v>390</v>
      </c>
      <c r="B32" s="151"/>
      <c r="C32" s="151">
        <v>0.15432903962171851</v>
      </c>
      <c r="D32" s="151">
        <v>0.10000000000000009</v>
      </c>
      <c r="E32" s="151">
        <v>4.0000000000000036E-2</v>
      </c>
      <c r="F32" s="151">
        <v>2.0000000000000018E-2</v>
      </c>
      <c r="G32" s="151">
        <v>2.0000000000000018E-2</v>
      </c>
      <c r="H32" s="151"/>
    </row>
    <row r="33" spans="1:19" ht="15" customHeight="1" x14ac:dyDescent="0.2">
      <c r="A33" s="152"/>
      <c r="B33" s="151"/>
      <c r="C33" s="151"/>
      <c r="D33" s="151"/>
      <c r="E33" s="151"/>
      <c r="F33" s="151"/>
      <c r="G33" s="151"/>
      <c r="H33" s="151"/>
    </row>
    <row r="34" spans="1:19" ht="15" customHeight="1" x14ac:dyDescent="0.2">
      <c r="A34" s="153" t="s">
        <v>466</v>
      </c>
      <c r="B34">
        <v>18</v>
      </c>
      <c r="C34">
        <v>18</v>
      </c>
      <c r="D34">
        <v>18</v>
      </c>
      <c r="E34">
        <v>19.8</v>
      </c>
      <c r="F34">
        <v>19.8</v>
      </c>
      <c r="G34">
        <v>19.8</v>
      </c>
    </row>
    <row r="35" spans="1:19" ht="15" customHeight="1" x14ac:dyDescent="0.2">
      <c r="A35" s="152" t="s">
        <v>461</v>
      </c>
      <c r="E35" s="86">
        <v>0.10000000000000009</v>
      </c>
      <c r="F35" s="86">
        <v>0</v>
      </c>
      <c r="G35" s="86">
        <v>0</v>
      </c>
    </row>
    <row r="36" spans="1:19" ht="15" customHeight="1" x14ac:dyDescent="0.2">
      <c r="A36" s="152"/>
      <c r="E36" s="86"/>
      <c r="F36" s="86"/>
      <c r="G36" s="86"/>
    </row>
    <row r="37" spans="1:19" ht="15" customHeight="1" x14ac:dyDescent="0.2">
      <c r="A37" s="174" t="s">
        <v>0</v>
      </c>
      <c r="E37" s="86"/>
      <c r="F37" s="86"/>
      <c r="G37" s="86"/>
    </row>
    <row r="39" spans="1:19" ht="15" customHeight="1" x14ac:dyDescent="0.2">
      <c r="A39" s="13" t="s">
        <v>431</v>
      </c>
      <c r="B39" s="17">
        <v>210805.06</v>
      </c>
      <c r="C39" s="17">
        <v>218253.32</v>
      </c>
      <c r="D39" s="17">
        <v>255000</v>
      </c>
      <c r="E39" s="17">
        <v>291077.89020000002</v>
      </c>
      <c r="F39" s="17">
        <v>319238.10230400006</v>
      </c>
      <c r="G39" s="17">
        <v>327164.77945008007</v>
      </c>
      <c r="H39" s="17"/>
      <c r="I39" s="17"/>
      <c r="J39" s="17"/>
      <c r="K39" s="17"/>
      <c r="L39" s="17"/>
      <c r="M39" s="17"/>
      <c r="N39" s="17"/>
      <c r="O39" s="17"/>
      <c r="P39" s="17"/>
      <c r="Q39" s="17"/>
      <c r="R39" s="17"/>
      <c r="S39" s="17"/>
    </row>
    <row r="40" spans="1:19" ht="15" customHeight="1" x14ac:dyDescent="0.2">
      <c r="A40" s="13" t="s">
        <v>432</v>
      </c>
      <c r="B40" s="17">
        <v>-10383.739999999991</v>
      </c>
      <c r="C40" s="17">
        <v>-11459</v>
      </c>
      <c r="D40" s="17">
        <v>-15600</v>
      </c>
      <c r="E40" s="17">
        <v>-11850</v>
      </c>
      <c r="F40" s="17">
        <v>-12442.5</v>
      </c>
      <c r="G40" s="17">
        <v>-13064.625</v>
      </c>
      <c r="H40" s="17"/>
      <c r="I40" s="17"/>
      <c r="J40" s="17"/>
      <c r="K40" s="17"/>
      <c r="L40" s="17"/>
      <c r="M40" s="17"/>
      <c r="N40" s="17"/>
      <c r="O40" s="17"/>
      <c r="P40" s="17"/>
      <c r="Q40" s="17"/>
      <c r="R40" s="17"/>
      <c r="S40" s="17"/>
    </row>
    <row r="41" spans="1:19" ht="15" customHeight="1" x14ac:dyDescent="0.2">
      <c r="A41" t="s">
        <v>139</v>
      </c>
      <c r="B41" s="17">
        <v>-16865.589999999997</v>
      </c>
      <c r="C41" s="17">
        <v>-46661.55</v>
      </c>
      <c r="D41" s="17">
        <v>-44490</v>
      </c>
      <c r="E41" s="17">
        <v>-48050</v>
      </c>
      <c r="F41" s="17">
        <v>-50452.5</v>
      </c>
      <c r="G41" s="17">
        <v>-52975.125</v>
      </c>
      <c r="H41" s="17"/>
      <c r="I41" s="17"/>
      <c r="J41" s="17"/>
      <c r="K41" s="17"/>
      <c r="L41" s="17"/>
      <c r="M41" s="17"/>
      <c r="N41" s="17"/>
      <c r="O41" s="17"/>
      <c r="P41" s="17"/>
      <c r="Q41" s="17"/>
      <c r="R41" s="17"/>
      <c r="S41" s="17"/>
    </row>
    <row r="42" spans="1:19" ht="15" customHeight="1" x14ac:dyDescent="0.2">
      <c r="A42" t="s">
        <v>135</v>
      </c>
      <c r="B42" s="17">
        <v>4187.84</v>
      </c>
      <c r="C42" s="17">
        <v>6714.6299999999974</v>
      </c>
      <c r="D42" s="17">
        <v>500</v>
      </c>
      <c r="E42" s="17">
        <v>0</v>
      </c>
      <c r="F42" s="17">
        <v>0</v>
      </c>
      <c r="G42" s="17">
        <v>0</v>
      </c>
      <c r="H42" s="17"/>
      <c r="I42" s="17"/>
      <c r="J42" s="17"/>
      <c r="K42" s="17"/>
      <c r="L42" s="17"/>
      <c r="M42" s="17"/>
      <c r="N42" s="17"/>
      <c r="O42" s="17"/>
      <c r="P42" s="17"/>
      <c r="Q42" s="17"/>
      <c r="R42" s="17"/>
      <c r="S42" s="17"/>
    </row>
    <row r="43" spans="1:19" ht="15" customHeight="1" x14ac:dyDescent="0.2">
      <c r="A43" t="s">
        <v>134</v>
      </c>
      <c r="B43" s="17">
        <v>-88352.88</v>
      </c>
      <c r="C43" s="17">
        <v>-19545.63</v>
      </c>
      <c r="D43" s="17">
        <v>-65500</v>
      </c>
      <c r="E43" s="17">
        <v>-70000</v>
      </c>
      <c r="F43" s="17">
        <v>-73500</v>
      </c>
      <c r="G43" s="17">
        <v>-77175</v>
      </c>
      <c r="H43" s="17"/>
      <c r="I43" s="17"/>
      <c r="J43" s="17"/>
      <c r="K43" s="17"/>
      <c r="L43" s="17"/>
      <c r="M43" s="17"/>
      <c r="N43" s="17"/>
      <c r="O43" s="17"/>
      <c r="P43" s="17"/>
      <c r="Q43" s="17"/>
      <c r="R43" s="17"/>
      <c r="S43" s="17"/>
    </row>
    <row r="44" spans="1:19" ht="15" customHeight="1" x14ac:dyDescent="0.2">
      <c r="A44" t="s">
        <v>137</v>
      </c>
      <c r="B44" s="17">
        <v>-1156.619999999999</v>
      </c>
      <c r="C44" s="17">
        <v>-10126.029999999999</v>
      </c>
      <c r="D44" s="17">
        <v>-12500</v>
      </c>
      <c r="E44" s="17">
        <v>-12500</v>
      </c>
      <c r="F44" s="17">
        <v>-13125</v>
      </c>
      <c r="G44" s="17">
        <v>-13781.25</v>
      </c>
      <c r="H44" s="17"/>
      <c r="I44" s="17"/>
      <c r="J44" s="17"/>
      <c r="K44" s="17"/>
      <c r="L44" s="17"/>
      <c r="M44" s="17"/>
      <c r="N44" s="17"/>
      <c r="O44" s="17"/>
      <c r="P44" s="17"/>
      <c r="Q44" s="17"/>
      <c r="R44" s="17"/>
      <c r="S44" s="17"/>
    </row>
    <row r="45" spans="1:19" ht="15" customHeight="1" x14ac:dyDescent="0.2">
      <c r="A45" t="s">
        <v>136</v>
      </c>
      <c r="B45" s="17">
        <v>-126939.03</v>
      </c>
      <c r="C45" s="17">
        <v>-144379.04</v>
      </c>
      <c r="D45" s="17">
        <v>-143372</v>
      </c>
      <c r="E45" s="17">
        <v>-148558.1</v>
      </c>
      <c r="F45" s="17">
        <v>-155986.005</v>
      </c>
      <c r="G45" s="17">
        <v>-163785.30525</v>
      </c>
      <c r="H45" s="17"/>
      <c r="I45" s="17"/>
      <c r="J45" s="17"/>
      <c r="K45" s="17"/>
      <c r="L45" s="17"/>
      <c r="M45" s="17"/>
      <c r="N45" s="17"/>
      <c r="O45" s="17"/>
      <c r="P45" s="17"/>
      <c r="Q45" s="17"/>
      <c r="R45" s="17"/>
      <c r="S45" s="17"/>
    </row>
    <row r="46" spans="1:19" ht="15" hidden="1" customHeight="1" x14ac:dyDescent="0.2">
      <c r="A46" t="s">
        <v>351</v>
      </c>
      <c r="B46" s="17">
        <v>0</v>
      </c>
      <c r="C46" s="17">
        <v>0</v>
      </c>
      <c r="D46" s="17">
        <v>0</v>
      </c>
      <c r="E46" s="17">
        <v>0</v>
      </c>
      <c r="F46" s="17"/>
      <c r="G46" s="17"/>
      <c r="H46" s="17"/>
      <c r="I46" s="17"/>
      <c r="J46" s="17"/>
      <c r="K46" s="17"/>
      <c r="L46" s="17"/>
      <c r="M46" s="17"/>
      <c r="N46" s="17"/>
      <c r="O46" s="17"/>
      <c r="P46" s="17"/>
      <c r="Q46" s="17"/>
      <c r="R46" s="17"/>
      <c r="S46" s="17"/>
    </row>
    <row r="47" spans="1:19" ht="15" hidden="1" customHeight="1" x14ac:dyDescent="0.2">
      <c r="A47" t="s">
        <v>149</v>
      </c>
      <c r="B47" s="17">
        <v>0</v>
      </c>
      <c r="C47" s="17">
        <v>0</v>
      </c>
      <c r="D47" s="17">
        <v>0</v>
      </c>
      <c r="E47" s="17">
        <v>0</v>
      </c>
      <c r="F47" s="17"/>
      <c r="G47" s="17"/>
      <c r="H47" s="17"/>
      <c r="I47" s="17"/>
      <c r="J47" s="17"/>
      <c r="K47" s="17"/>
      <c r="L47" s="17"/>
      <c r="M47" s="17"/>
      <c r="N47" s="17"/>
      <c r="O47" s="17"/>
      <c r="P47" s="17"/>
      <c r="Q47" s="17"/>
      <c r="R47" s="17"/>
      <c r="S47" s="17"/>
    </row>
    <row r="48" spans="1:19" ht="15" customHeight="1" x14ac:dyDescent="0.2">
      <c r="B48" s="17"/>
      <c r="C48" s="17"/>
      <c r="D48" s="17"/>
      <c r="E48" s="17"/>
      <c r="F48" s="17"/>
      <c r="G48" s="17"/>
      <c r="H48" s="17"/>
      <c r="I48" s="17"/>
      <c r="J48" s="17"/>
      <c r="K48" s="17"/>
      <c r="L48" s="17"/>
      <c r="M48" s="17"/>
      <c r="N48" s="17"/>
      <c r="O48" s="17"/>
      <c r="P48" s="17"/>
      <c r="Q48" s="17"/>
      <c r="R48" s="17"/>
      <c r="S48" s="17"/>
    </row>
    <row r="49" spans="1:19" ht="15" customHeight="1" x14ac:dyDescent="0.2">
      <c r="A49" s="65" t="s">
        <v>439</v>
      </c>
      <c r="B49" s="167">
        <v>-28704.959999999992</v>
      </c>
      <c r="C49" s="167">
        <v>-7203.2999999999884</v>
      </c>
      <c r="D49" s="167">
        <v>-25962</v>
      </c>
      <c r="E49" s="167">
        <v>119.79020000001765</v>
      </c>
      <c r="F49" s="167">
        <v>13732.097304000054</v>
      </c>
      <c r="G49" s="167">
        <v>6383.4742000800616</v>
      </c>
      <c r="H49" s="17"/>
      <c r="I49" s="17"/>
      <c r="J49" s="17"/>
      <c r="K49" s="17"/>
      <c r="L49" s="17"/>
      <c r="M49" s="17"/>
      <c r="N49" s="17"/>
      <c r="O49" s="17"/>
      <c r="P49" s="17"/>
      <c r="Q49" s="17"/>
      <c r="R49" s="17"/>
      <c r="S49" s="17"/>
    </row>
    <row r="50" spans="1:19" ht="15" customHeight="1" x14ac:dyDescent="0.2">
      <c r="B50" s="17"/>
      <c r="C50" s="17"/>
      <c r="D50" s="17"/>
      <c r="E50" s="17"/>
      <c r="F50" s="17"/>
      <c r="G50" s="17"/>
      <c r="H50" s="17"/>
      <c r="I50" s="17"/>
      <c r="J50" s="17"/>
      <c r="K50" s="17"/>
      <c r="L50" s="17"/>
      <c r="M50" s="17"/>
      <c r="N50" s="17"/>
      <c r="O50" s="17"/>
      <c r="P50" s="17"/>
      <c r="Q50" s="17"/>
      <c r="R50" s="17"/>
      <c r="S50" s="17"/>
    </row>
    <row r="51" spans="1:19" ht="15" customHeight="1" x14ac:dyDescent="0.2">
      <c r="A51" s="13" t="s">
        <v>349</v>
      </c>
      <c r="B51" s="17">
        <v>0</v>
      </c>
      <c r="C51" s="17">
        <v>0</v>
      </c>
      <c r="D51" s="17">
        <v>200000</v>
      </c>
      <c r="E51" s="17">
        <v>300000</v>
      </c>
      <c r="F51" s="17">
        <v>0</v>
      </c>
      <c r="G51" s="17">
        <v>0</v>
      </c>
      <c r="H51" s="17"/>
      <c r="I51" s="17"/>
      <c r="J51" s="17"/>
      <c r="K51" s="17"/>
      <c r="L51" s="17"/>
      <c r="M51" s="17"/>
      <c r="N51" s="17"/>
      <c r="O51" s="17"/>
      <c r="P51" s="17"/>
      <c r="Q51" s="17"/>
      <c r="R51" s="17"/>
      <c r="S51" s="17"/>
    </row>
    <row r="52" spans="1:19" ht="15" customHeight="1" x14ac:dyDescent="0.2">
      <c r="A52" s="13" t="s">
        <v>350</v>
      </c>
      <c r="B52" s="17">
        <v>0</v>
      </c>
      <c r="C52" s="17">
        <v>0</v>
      </c>
      <c r="D52" s="17">
        <v>-200000</v>
      </c>
      <c r="E52" s="17">
        <v>-300000</v>
      </c>
      <c r="F52" s="17">
        <v>0</v>
      </c>
      <c r="G52" s="17">
        <v>0</v>
      </c>
      <c r="H52" s="17"/>
      <c r="I52" s="17"/>
      <c r="J52" s="17"/>
      <c r="K52" s="17"/>
      <c r="L52" s="17"/>
      <c r="M52" s="17"/>
      <c r="N52" s="17"/>
      <c r="O52" s="17"/>
      <c r="P52" s="17"/>
      <c r="Q52" s="17"/>
      <c r="R52" s="17"/>
      <c r="S52" s="17"/>
    </row>
    <row r="53" spans="1:19" ht="15" customHeight="1" x14ac:dyDescent="0.2">
      <c r="B53" s="17"/>
      <c r="C53" s="17"/>
      <c r="D53" s="17"/>
      <c r="E53" s="17"/>
      <c r="F53" s="17"/>
      <c r="G53" s="17"/>
      <c r="H53" s="17"/>
      <c r="I53" s="17"/>
      <c r="J53" s="17"/>
      <c r="K53" s="17"/>
      <c r="L53" s="17"/>
      <c r="M53" s="17"/>
      <c r="N53" s="17"/>
      <c r="O53" s="17"/>
      <c r="P53" s="17"/>
      <c r="Q53" s="17"/>
      <c r="R53" s="17"/>
      <c r="S53" s="17"/>
    </row>
    <row r="54" spans="1:19" ht="15" customHeight="1" x14ac:dyDescent="0.2">
      <c r="A54" s="13" t="s">
        <v>440</v>
      </c>
      <c r="B54" s="17">
        <v>112926</v>
      </c>
      <c r="C54" s="17">
        <v>84221.040000000008</v>
      </c>
      <c r="D54" s="17">
        <v>77017.74000000002</v>
      </c>
      <c r="E54" s="17">
        <v>51055.74000000002</v>
      </c>
      <c r="F54" s="17">
        <v>51175.530200000037</v>
      </c>
      <c r="G54" s="17">
        <v>64907.627504000091</v>
      </c>
      <c r="H54" s="17"/>
      <c r="I54" s="17"/>
      <c r="J54" s="17"/>
      <c r="K54" s="17"/>
      <c r="L54" s="17"/>
      <c r="M54" s="17"/>
      <c r="N54" s="17"/>
      <c r="O54" s="17"/>
      <c r="P54" s="17"/>
      <c r="Q54" s="17"/>
      <c r="R54" s="17"/>
      <c r="S54" s="17"/>
    </row>
    <row r="55" spans="1:19" ht="15" customHeight="1" x14ac:dyDescent="0.2">
      <c r="B55" s="17"/>
      <c r="C55" s="17"/>
      <c r="D55" s="17"/>
      <c r="E55" s="17"/>
      <c r="F55" s="17"/>
      <c r="G55" s="17"/>
      <c r="H55" s="17"/>
      <c r="I55" s="17"/>
      <c r="J55" s="17"/>
      <c r="K55" s="17"/>
      <c r="L55" s="17"/>
      <c r="M55" s="17"/>
      <c r="N55" s="17"/>
      <c r="O55" s="17"/>
      <c r="P55" s="17"/>
      <c r="Q55" s="17"/>
      <c r="R55" s="17"/>
      <c r="S55" s="17"/>
    </row>
    <row r="56" spans="1:19" ht="15" customHeight="1" thickBot="1" x14ac:dyDescent="0.25">
      <c r="A56" s="165" t="s">
        <v>441</v>
      </c>
      <c r="B56" s="166">
        <v>84221.040000000008</v>
      </c>
      <c r="C56" s="166">
        <v>77017.74000000002</v>
      </c>
      <c r="D56" s="166">
        <v>51055.74000000002</v>
      </c>
      <c r="E56" s="166">
        <v>51175.530200000037</v>
      </c>
      <c r="F56" s="166">
        <v>64907.627504000091</v>
      </c>
      <c r="G56" s="166">
        <v>71291.101704080153</v>
      </c>
      <c r="H56" s="17"/>
      <c r="I56" s="17"/>
      <c r="J56" s="17"/>
      <c r="K56" s="17"/>
      <c r="L56" s="17"/>
      <c r="M56" s="17"/>
      <c r="N56" s="17"/>
      <c r="O56" s="17"/>
      <c r="P56" s="17"/>
      <c r="Q56" s="17"/>
      <c r="R56" s="17"/>
      <c r="S56" s="17"/>
    </row>
    <row r="57" spans="1:19" ht="15" customHeight="1" thickTop="1" x14ac:dyDescent="0.2">
      <c r="B57" s="17"/>
      <c r="C57" s="17"/>
      <c r="D57" s="17"/>
      <c r="E57" s="17"/>
      <c r="F57" s="17"/>
      <c r="G57" s="17"/>
      <c r="H57" s="17"/>
      <c r="I57" s="17"/>
      <c r="J57" s="17"/>
      <c r="K57" s="17"/>
      <c r="L57" s="17"/>
      <c r="M57" s="17"/>
      <c r="N57" s="17"/>
      <c r="O57" s="17"/>
      <c r="P57" s="17"/>
      <c r="Q57" s="17"/>
      <c r="R57" s="17"/>
      <c r="S57" s="17"/>
    </row>
    <row r="58" spans="1:19" ht="15" customHeight="1" x14ac:dyDescent="0.2">
      <c r="B58" s="17"/>
      <c r="C58" s="17"/>
      <c r="D58" s="17"/>
      <c r="E58" s="17"/>
      <c r="F58" s="17"/>
      <c r="G58" s="17"/>
      <c r="H58" s="17"/>
      <c r="I58" s="17"/>
      <c r="J58" s="17"/>
      <c r="K58" s="17"/>
      <c r="L58" s="17"/>
      <c r="M58" s="17"/>
      <c r="N58" s="17"/>
      <c r="O58" s="17"/>
      <c r="P58" s="17"/>
      <c r="Q58" s="17"/>
      <c r="R58" s="17"/>
      <c r="S58" s="17"/>
    </row>
    <row r="59" spans="1:19" ht="15" customHeight="1" x14ac:dyDescent="0.2">
      <c r="A59" s="13" t="s">
        <v>207</v>
      </c>
      <c r="B59" s="17"/>
      <c r="C59" s="17"/>
      <c r="D59" s="17"/>
      <c r="E59" s="17"/>
      <c r="F59" s="17"/>
      <c r="G59" s="17"/>
      <c r="H59" s="17"/>
      <c r="I59" s="17"/>
      <c r="J59" s="17"/>
      <c r="K59" s="17"/>
      <c r="L59" s="17"/>
      <c r="M59" s="17"/>
      <c r="N59" s="17"/>
      <c r="O59" s="17"/>
      <c r="P59" s="17"/>
      <c r="Q59" s="17"/>
      <c r="R59" s="17"/>
      <c r="S59" s="17"/>
    </row>
    <row r="60" spans="1:19" ht="15" customHeight="1" x14ac:dyDescent="0.2">
      <c r="A60" s="13" t="s">
        <v>443</v>
      </c>
      <c r="B60" s="17"/>
      <c r="C60" s="17"/>
      <c r="D60" s="17"/>
      <c r="E60" s="17"/>
      <c r="F60" s="17"/>
      <c r="G60" s="17"/>
      <c r="H60" s="17"/>
      <c r="I60" s="17"/>
      <c r="J60" s="17"/>
      <c r="K60" s="17"/>
      <c r="L60" s="17"/>
      <c r="M60" s="17"/>
      <c r="N60" s="17"/>
      <c r="O60" s="17"/>
      <c r="P60" s="17"/>
      <c r="Q60" s="17"/>
      <c r="R60" s="17"/>
      <c r="S60" s="17"/>
    </row>
    <row r="61" spans="1:19" ht="15" customHeight="1" x14ac:dyDescent="0.2">
      <c r="B61" s="17"/>
      <c r="C61" s="17"/>
      <c r="D61" s="17"/>
      <c r="E61" s="17"/>
      <c r="F61" s="17"/>
      <c r="G61" s="17"/>
      <c r="H61" s="17"/>
      <c r="I61" s="17"/>
      <c r="J61" s="17"/>
      <c r="K61" s="17"/>
      <c r="L61" s="17"/>
      <c r="M61" s="17"/>
      <c r="N61" s="17"/>
      <c r="O61" s="17"/>
      <c r="P61" s="17"/>
      <c r="Q61" s="17"/>
      <c r="R61" s="17"/>
      <c r="S61" s="17"/>
    </row>
    <row r="62" spans="1:19" ht="15" customHeight="1" x14ac:dyDescent="0.2">
      <c r="B62" s="17"/>
      <c r="C62" s="17"/>
      <c r="D62" s="17"/>
      <c r="E62" s="17"/>
      <c r="F62" s="17"/>
      <c r="G62" s="17"/>
      <c r="H62" s="17"/>
      <c r="I62" s="17"/>
      <c r="J62" s="17"/>
      <c r="K62" s="17"/>
      <c r="L62" s="17"/>
      <c r="M62" s="17"/>
      <c r="N62" s="17"/>
      <c r="O62" s="17"/>
      <c r="P62" s="17"/>
      <c r="Q62" s="17"/>
      <c r="R62" s="17"/>
      <c r="S62" s="17"/>
    </row>
    <row r="63" spans="1:19" ht="15" customHeight="1" x14ac:dyDescent="0.2">
      <c r="B63" s="17"/>
      <c r="C63" s="17"/>
      <c r="D63" s="17"/>
      <c r="E63" s="17"/>
      <c r="F63" s="17"/>
      <c r="G63" s="17"/>
      <c r="H63" s="17"/>
      <c r="I63" s="17"/>
      <c r="J63" s="17"/>
      <c r="K63" s="17"/>
      <c r="L63" s="17"/>
      <c r="M63" s="17"/>
      <c r="N63" s="17"/>
      <c r="O63" s="17"/>
      <c r="P63" s="17"/>
      <c r="Q63" s="17"/>
      <c r="R63" s="17"/>
      <c r="S63" s="17"/>
    </row>
    <row r="64" spans="1:19" ht="15" customHeight="1" x14ac:dyDescent="0.2">
      <c r="B64" s="17"/>
      <c r="C64" s="17"/>
      <c r="D64" s="17"/>
      <c r="E64" s="17"/>
      <c r="F64" s="17"/>
      <c r="G64" s="17"/>
      <c r="H64" s="17"/>
      <c r="I64" s="17"/>
      <c r="J64" s="17"/>
      <c r="K64" s="17"/>
      <c r="L64" s="17"/>
      <c r="M64" s="17"/>
      <c r="N64" s="17"/>
      <c r="O64" s="17"/>
      <c r="P64" s="17"/>
      <c r="Q64" s="17"/>
      <c r="R64" s="17"/>
      <c r="S64" s="17"/>
    </row>
    <row r="65" spans="2:19" ht="15" customHeight="1" x14ac:dyDescent="0.2">
      <c r="B65" s="17"/>
      <c r="C65" s="17"/>
      <c r="D65" s="17"/>
      <c r="E65" s="17"/>
      <c r="F65" s="17"/>
      <c r="G65" s="17"/>
      <c r="H65" s="17"/>
      <c r="I65" s="17"/>
      <c r="J65" s="17"/>
      <c r="K65" s="17"/>
      <c r="L65" s="17"/>
      <c r="M65" s="17"/>
      <c r="N65" s="17"/>
      <c r="O65" s="17"/>
      <c r="P65" s="17"/>
      <c r="Q65" s="17"/>
      <c r="R65" s="17"/>
      <c r="S65" s="17"/>
    </row>
    <row r="66" spans="2:19" ht="15" customHeight="1" x14ac:dyDescent="0.2">
      <c r="B66" s="17"/>
      <c r="C66" s="17"/>
      <c r="D66" s="17"/>
      <c r="E66" s="17"/>
      <c r="F66" s="17"/>
      <c r="G66" s="17"/>
      <c r="H66" s="17"/>
      <c r="I66" s="17"/>
      <c r="J66" s="17"/>
      <c r="K66" s="17"/>
      <c r="L66" s="17"/>
      <c r="M66" s="17"/>
      <c r="N66" s="17"/>
      <c r="O66" s="17"/>
      <c r="P66" s="17"/>
      <c r="Q66" s="17"/>
      <c r="R66" s="17"/>
      <c r="S66" s="17"/>
    </row>
  </sheetData>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FE488-DF93-4F18-983C-5A0462E6418C}">
  <sheetPr>
    <tabColor rgb="FF00B050"/>
  </sheetPr>
  <dimension ref="A1:S69"/>
  <sheetViews>
    <sheetView tabSelected="1" zoomScaleNormal="100" workbookViewId="0">
      <selection activeCell="H1" sqref="H1"/>
    </sheetView>
  </sheetViews>
  <sheetFormatPr defaultRowHeight="15" customHeight="1" x14ac:dyDescent="0.2"/>
  <cols>
    <col min="1" max="1" width="39.85546875" customWidth="1"/>
    <col min="2" max="7" width="14.28515625" customWidth="1"/>
  </cols>
  <sheetData>
    <row r="1" spans="1:7" ht="23.25" customHeight="1" thickBot="1" x14ac:dyDescent="0.45">
      <c r="A1" s="69" t="s">
        <v>442</v>
      </c>
      <c r="B1" s="71"/>
      <c r="C1" s="71"/>
      <c r="D1" s="71"/>
      <c r="E1" s="71"/>
      <c r="F1" s="71"/>
      <c r="G1" s="204" t="s">
        <v>619</v>
      </c>
    </row>
    <row r="3" spans="1:7" ht="15" hidden="1" customHeight="1" x14ac:dyDescent="0.2">
      <c r="A3" s="18" t="s">
        <v>512</v>
      </c>
    </row>
    <row r="4" spans="1:7" ht="15" hidden="1" customHeight="1" x14ac:dyDescent="0.2"/>
    <row r="5" spans="1:7" ht="15" hidden="1" customHeight="1" x14ac:dyDescent="0.2">
      <c r="A5" s="13" t="s">
        <v>513</v>
      </c>
    </row>
    <row r="6" spans="1:7" ht="15" hidden="1" customHeight="1" x14ac:dyDescent="0.2">
      <c r="A6" s="13" t="s">
        <v>514</v>
      </c>
    </row>
    <row r="7" spans="1:7" ht="15" hidden="1" customHeight="1" x14ac:dyDescent="0.2">
      <c r="A7" s="13" t="s">
        <v>515</v>
      </c>
    </row>
    <row r="8" spans="1:7" ht="15" hidden="1" customHeight="1" x14ac:dyDescent="0.2">
      <c r="A8" s="13"/>
    </row>
    <row r="9" spans="1:7" ht="15" customHeight="1" x14ac:dyDescent="0.2">
      <c r="A9" s="13" t="s">
        <v>460</v>
      </c>
      <c r="B9" s="197">
        <v>2022</v>
      </c>
      <c r="C9" s="197">
        <v>2023</v>
      </c>
      <c r="D9" s="197">
        <v>2024</v>
      </c>
      <c r="E9" s="197">
        <v>2025</v>
      </c>
      <c r="F9" s="197">
        <v>2026</v>
      </c>
      <c r="G9" s="197">
        <v>2027</v>
      </c>
    </row>
    <row r="10" spans="1:7" ht="15" customHeight="1" x14ac:dyDescent="0.2">
      <c r="B10" s="197" t="s">
        <v>577</v>
      </c>
      <c r="C10" s="197" t="s">
        <v>577</v>
      </c>
      <c r="D10" s="197" t="s">
        <v>617</v>
      </c>
      <c r="E10" s="197" t="s">
        <v>154</v>
      </c>
      <c r="F10" s="197" t="s">
        <v>618</v>
      </c>
      <c r="G10" s="197" t="s">
        <v>618</v>
      </c>
    </row>
    <row r="11" spans="1:7" ht="15" customHeight="1" x14ac:dyDescent="0.2">
      <c r="B11" s="13"/>
      <c r="C11" s="13"/>
      <c r="D11" s="13"/>
      <c r="E11" s="13"/>
      <c r="F11" s="13"/>
      <c r="G11" s="13"/>
    </row>
    <row r="12" spans="1:7" ht="15" customHeight="1" x14ac:dyDescent="0.2">
      <c r="A12" s="60" t="s">
        <v>470</v>
      </c>
      <c r="B12" s="13"/>
      <c r="C12" s="13"/>
      <c r="D12" s="13"/>
      <c r="E12" s="13"/>
      <c r="F12" s="13"/>
      <c r="G12" s="13"/>
    </row>
    <row r="13" spans="1:7" ht="15" customHeight="1" x14ac:dyDescent="0.2">
      <c r="B13" s="13"/>
      <c r="C13" s="13"/>
      <c r="D13" s="13"/>
      <c r="E13" s="13"/>
      <c r="F13" s="13"/>
      <c r="G13" s="13"/>
    </row>
    <row r="14" spans="1:7" ht="15" customHeight="1" x14ac:dyDescent="0.2">
      <c r="A14" s="13" t="s">
        <v>462</v>
      </c>
      <c r="B14">
        <v>6</v>
      </c>
      <c r="C14">
        <v>6</v>
      </c>
      <c r="D14">
        <v>6</v>
      </c>
      <c r="E14" s="175"/>
      <c r="F14" s="175"/>
      <c r="G14" s="175"/>
    </row>
    <row r="15" spans="1:7" ht="15" customHeight="1" x14ac:dyDescent="0.2">
      <c r="A15" s="13" t="s">
        <v>464</v>
      </c>
      <c r="B15">
        <v>19.5</v>
      </c>
      <c r="C15">
        <v>19.5</v>
      </c>
      <c r="D15">
        <v>19.5</v>
      </c>
      <c r="E15" s="175"/>
      <c r="F15" s="175"/>
      <c r="G15" s="175"/>
    </row>
    <row r="16" spans="1:7" ht="15" customHeight="1" x14ac:dyDescent="0.2">
      <c r="A16" s="13" t="s">
        <v>465</v>
      </c>
      <c r="B16">
        <v>75</v>
      </c>
      <c r="C16">
        <v>75</v>
      </c>
      <c r="D16">
        <v>75</v>
      </c>
      <c r="E16">
        <v>77</v>
      </c>
      <c r="F16">
        <v>77</v>
      </c>
      <c r="G16">
        <v>77</v>
      </c>
    </row>
    <row r="17" spans="1:10" ht="15" customHeight="1" x14ac:dyDescent="0.2">
      <c r="A17" s="13"/>
    </row>
    <row r="18" spans="1:10" ht="15" customHeight="1" x14ac:dyDescent="0.2">
      <c r="A18" s="13" t="s">
        <v>463</v>
      </c>
      <c r="B18">
        <v>10</v>
      </c>
      <c r="C18">
        <v>10</v>
      </c>
      <c r="D18">
        <v>10</v>
      </c>
      <c r="E18">
        <v>12</v>
      </c>
      <c r="F18">
        <v>12</v>
      </c>
      <c r="G18">
        <v>12</v>
      </c>
    </row>
    <row r="20" spans="1:10" ht="15" customHeight="1" x14ac:dyDescent="0.2">
      <c r="A20" s="13" t="s">
        <v>467</v>
      </c>
      <c r="B20">
        <v>10</v>
      </c>
      <c r="C20">
        <v>10</v>
      </c>
      <c r="D20">
        <v>10</v>
      </c>
      <c r="E20">
        <v>12</v>
      </c>
      <c r="F20">
        <v>12</v>
      </c>
      <c r="G20">
        <v>12</v>
      </c>
      <c r="J20" s="13" t="s">
        <v>460</v>
      </c>
    </row>
    <row r="21" spans="1:10" ht="15" customHeight="1" x14ac:dyDescent="0.2">
      <c r="A21" s="13" t="s">
        <v>400</v>
      </c>
      <c r="B21">
        <v>18</v>
      </c>
      <c r="C21">
        <v>18</v>
      </c>
      <c r="D21">
        <v>18</v>
      </c>
      <c r="E21">
        <v>20</v>
      </c>
      <c r="F21">
        <v>20</v>
      </c>
      <c r="G21">
        <v>20</v>
      </c>
      <c r="J21" s="13" t="s">
        <v>460</v>
      </c>
    </row>
    <row r="22" spans="1:10" ht="15" customHeight="1" x14ac:dyDescent="0.2">
      <c r="A22" s="13" t="s">
        <v>401</v>
      </c>
      <c r="B22">
        <v>27</v>
      </c>
      <c r="C22">
        <v>27</v>
      </c>
      <c r="D22">
        <v>27</v>
      </c>
      <c r="E22" s="175"/>
      <c r="F22" s="175"/>
      <c r="G22" s="175"/>
    </row>
    <row r="23" spans="1:10" ht="15" customHeight="1" x14ac:dyDescent="0.2">
      <c r="A23" s="13" t="s">
        <v>402</v>
      </c>
      <c r="B23">
        <v>39</v>
      </c>
      <c r="C23">
        <v>39</v>
      </c>
      <c r="D23">
        <v>39</v>
      </c>
      <c r="E23" s="175"/>
      <c r="F23" s="175"/>
      <c r="G23" s="175"/>
    </row>
    <row r="24" spans="1:10" ht="15" customHeight="1" x14ac:dyDescent="0.2">
      <c r="A24" s="13" t="s">
        <v>403</v>
      </c>
      <c r="B24">
        <v>75</v>
      </c>
      <c r="C24">
        <v>75</v>
      </c>
      <c r="D24">
        <v>75</v>
      </c>
      <c r="E24">
        <v>77</v>
      </c>
      <c r="F24">
        <v>77</v>
      </c>
      <c r="G24">
        <v>77</v>
      </c>
    </row>
    <row r="25" spans="1:10" ht="15" customHeight="1" x14ac:dyDescent="0.2">
      <c r="A25" s="13"/>
    </row>
    <row r="26" spans="1:10" ht="15" customHeight="1" x14ac:dyDescent="0.2">
      <c r="A26" s="13" t="s">
        <v>463</v>
      </c>
      <c r="B26">
        <v>33</v>
      </c>
      <c r="C26">
        <v>33</v>
      </c>
      <c r="D26">
        <v>33</v>
      </c>
      <c r="E26">
        <v>35</v>
      </c>
      <c r="F26">
        <v>35</v>
      </c>
      <c r="G26">
        <v>35</v>
      </c>
    </row>
    <row r="28" spans="1:10" ht="15" customHeight="1" x14ac:dyDescent="0.2">
      <c r="A28" s="152" t="s">
        <v>388</v>
      </c>
      <c r="B28" s="17">
        <v>8928</v>
      </c>
      <c r="C28" s="17">
        <v>12266</v>
      </c>
      <c r="D28" s="17">
        <v>14159</v>
      </c>
      <c r="E28" s="17">
        <v>15574.900000000001</v>
      </c>
      <c r="F28" s="17">
        <v>15886.398000000001</v>
      </c>
      <c r="G28" s="17">
        <v>16204.125960000001</v>
      </c>
      <c r="H28" s="17"/>
    </row>
    <row r="29" spans="1:10" ht="15" customHeight="1" x14ac:dyDescent="0.2">
      <c r="A29" s="152" t="s">
        <v>389</v>
      </c>
      <c r="B29" s="15">
        <v>12266</v>
      </c>
      <c r="C29" s="15">
        <v>14159</v>
      </c>
      <c r="D29" s="15">
        <v>15574.900000000001</v>
      </c>
      <c r="E29" s="15">
        <v>15886.398000000001</v>
      </c>
      <c r="F29" s="15">
        <v>16204.125960000001</v>
      </c>
      <c r="G29" s="15">
        <v>16528.208479200002</v>
      </c>
      <c r="H29" s="17"/>
    </row>
    <row r="30" spans="1:10" ht="15" customHeight="1" x14ac:dyDescent="0.2">
      <c r="A30" s="153" t="s">
        <v>393</v>
      </c>
      <c r="B30" s="17">
        <v>10597</v>
      </c>
      <c r="C30" s="17">
        <v>13212.5</v>
      </c>
      <c r="D30" s="17">
        <v>14866.95</v>
      </c>
      <c r="E30" s="17">
        <v>15730.649000000001</v>
      </c>
      <c r="F30" s="17">
        <v>16045.261980000001</v>
      </c>
      <c r="G30" s="17">
        <v>16366.167219600002</v>
      </c>
      <c r="H30" s="17"/>
    </row>
    <row r="31" spans="1:10" ht="15" customHeight="1" x14ac:dyDescent="0.2">
      <c r="A31" s="152"/>
    </row>
    <row r="32" spans="1:10" ht="15" customHeight="1" x14ac:dyDescent="0.2">
      <c r="A32" s="152" t="s">
        <v>390</v>
      </c>
      <c r="B32" s="151"/>
      <c r="C32" s="151">
        <v>0.15432903962171851</v>
      </c>
      <c r="D32" s="151">
        <v>0.10000000000000009</v>
      </c>
      <c r="E32" s="151">
        <v>2.0000000000000018E-2</v>
      </c>
      <c r="F32" s="151">
        <v>2.0000000000000018E-2</v>
      </c>
      <c r="G32" s="151">
        <v>2.0000000000000018E-2</v>
      </c>
      <c r="H32" s="151"/>
    </row>
    <row r="33" spans="1:19" ht="15" customHeight="1" x14ac:dyDescent="0.2">
      <c r="A33" s="152"/>
      <c r="B33" s="151"/>
      <c r="C33" s="151"/>
      <c r="D33" s="151"/>
      <c r="E33" s="151"/>
      <c r="F33" s="151"/>
      <c r="G33" s="151"/>
      <c r="H33" s="151"/>
    </row>
    <row r="34" spans="1:19" ht="15" customHeight="1" x14ac:dyDescent="0.2">
      <c r="A34" s="153" t="s">
        <v>466</v>
      </c>
      <c r="B34">
        <v>18</v>
      </c>
      <c r="C34">
        <v>18</v>
      </c>
      <c r="D34">
        <v>18</v>
      </c>
      <c r="E34">
        <v>19.440000000000001</v>
      </c>
      <c r="F34">
        <v>19.440000000000001</v>
      </c>
      <c r="G34">
        <v>19.440000000000001</v>
      </c>
    </row>
    <row r="35" spans="1:19" ht="15" customHeight="1" x14ac:dyDescent="0.2">
      <c r="A35" s="152" t="s">
        <v>461</v>
      </c>
      <c r="E35" s="86">
        <v>8.0000000000000071E-2</v>
      </c>
      <c r="F35" s="86">
        <v>0</v>
      </c>
      <c r="G35" s="86">
        <v>0</v>
      </c>
    </row>
    <row r="36" spans="1:19" ht="15" customHeight="1" x14ac:dyDescent="0.2">
      <c r="A36" s="152"/>
      <c r="E36" s="86"/>
      <c r="F36" s="86"/>
      <c r="G36" s="86"/>
    </row>
    <row r="37" spans="1:19" ht="15" customHeight="1" x14ac:dyDescent="0.2">
      <c r="A37" s="174" t="s">
        <v>0</v>
      </c>
      <c r="E37" s="86"/>
      <c r="F37" s="86"/>
      <c r="G37" s="86"/>
    </row>
    <row r="39" spans="1:19" ht="15" customHeight="1" x14ac:dyDescent="0.2">
      <c r="A39" s="13" t="s">
        <v>431</v>
      </c>
      <c r="B39" s="17">
        <v>210805.06</v>
      </c>
      <c r="C39" s="17">
        <v>218253.32</v>
      </c>
      <c r="D39" s="17">
        <v>255000</v>
      </c>
      <c r="E39" s="17">
        <v>286704.45828000002</v>
      </c>
      <c r="F39" s="17">
        <v>308861.85472560005</v>
      </c>
      <c r="G39" s="17">
        <v>315039.09182011208</v>
      </c>
      <c r="H39" s="17"/>
      <c r="I39" s="17"/>
      <c r="J39" s="17"/>
      <c r="K39" s="17"/>
      <c r="L39" s="17"/>
      <c r="M39" s="17"/>
      <c r="N39" s="17"/>
      <c r="O39" s="17"/>
      <c r="P39" s="17"/>
      <c r="Q39" s="17"/>
      <c r="R39" s="17"/>
      <c r="S39" s="17"/>
    </row>
    <row r="40" spans="1:19" ht="15" customHeight="1" x14ac:dyDescent="0.2">
      <c r="A40" s="13" t="s">
        <v>432</v>
      </c>
      <c r="B40" s="17">
        <v>-10383.739999999991</v>
      </c>
      <c r="C40" s="17">
        <v>-11459</v>
      </c>
      <c r="D40" s="17">
        <v>-15600</v>
      </c>
      <c r="E40" s="17">
        <v>-11850</v>
      </c>
      <c r="F40" s="17">
        <v>-12087</v>
      </c>
      <c r="G40" s="17">
        <v>-12328.74</v>
      </c>
      <c r="H40" s="17"/>
      <c r="I40" s="17"/>
      <c r="J40" s="17"/>
      <c r="K40" s="17"/>
      <c r="L40" s="17"/>
      <c r="M40" s="17"/>
      <c r="N40" s="17"/>
      <c r="O40" s="17"/>
      <c r="P40" s="17"/>
      <c r="Q40" s="17"/>
      <c r="R40" s="17"/>
      <c r="S40" s="17"/>
    </row>
    <row r="41" spans="1:19" ht="15" customHeight="1" x14ac:dyDescent="0.2">
      <c r="A41" t="s">
        <v>139</v>
      </c>
      <c r="B41" s="17">
        <v>-16865.589999999997</v>
      </c>
      <c r="C41" s="17">
        <v>-44661.55</v>
      </c>
      <c r="D41" s="17">
        <v>-44490</v>
      </c>
      <c r="E41" s="17">
        <v>-48050</v>
      </c>
      <c r="F41" s="17">
        <v>-49011</v>
      </c>
      <c r="G41" s="17">
        <v>-49991.22</v>
      </c>
      <c r="H41" s="17"/>
      <c r="I41" s="17"/>
      <c r="J41" s="17"/>
      <c r="K41" s="17"/>
      <c r="L41" s="17"/>
      <c r="M41" s="17"/>
      <c r="N41" s="17"/>
      <c r="O41" s="17"/>
      <c r="P41" s="17"/>
      <c r="Q41" s="17"/>
      <c r="R41" s="17"/>
      <c r="S41" s="17"/>
    </row>
    <row r="42" spans="1:19" ht="15" customHeight="1" x14ac:dyDescent="0.2">
      <c r="A42" t="s">
        <v>135</v>
      </c>
      <c r="B42" s="17">
        <v>4187.84</v>
      </c>
      <c r="C42" s="17">
        <v>6714.6299999999974</v>
      </c>
      <c r="D42" s="17">
        <v>500</v>
      </c>
      <c r="E42" s="17">
        <v>0</v>
      </c>
      <c r="F42" s="17">
        <v>0</v>
      </c>
      <c r="G42" s="17">
        <v>0</v>
      </c>
      <c r="H42" s="17"/>
      <c r="I42" s="17"/>
      <c r="J42" s="17"/>
      <c r="K42" s="17"/>
      <c r="L42" s="17"/>
      <c r="M42" s="17"/>
      <c r="N42" s="17"/>
      <c r="O42" s="17"/>
      <c r="P42" s="17"/>
      <c r="Q42" s="17"/>
      <c r="R42" s="17"/>
      <c r="S42" s="17"/>
    </row>
    <row r="43" spans="1:19" ht="15" customHeight="1" x14ac:dyDescent="0.2">
      <c r="A43" t="s">
        <v>134</v>
      </c>
      <c r="B43" s="17">
        <v>-88352.88</v>
      </c>
      <c r="C43" s="17">
        <v>-19545.63</v>
      </c>
      <c r="D43" s="17">
        <v>-65500</v>
      </c>
      <c r="E43" s="17">
        <v>-70000</v>
      </c>
      <c r="F43" s="17">
        <v>-71400</v>
      </c>
      <c r="G43" s="17">
        <v>-72828</v>
      </c>
      <c r="H43" s="17"/>
      <c r="I43" s="17"/>
      <c r="J43" s="17"/>
      <c r="K43" s="17"/>
      <c r="L43" s="17"/>
      <c r="M43" s="17"/>
      <c r="N43" s="17"/>
      <c r="O43" s="17"/>
      <c r="P43" s="17"/>
      <c r="Q43" s="17"/>
      <c r="R43" s="17"/>
      <c r="S43" s="17"/>
    </row>
    <row r="44" spans="1:19" ht="15" customHeight="1" x14ac:dyDescent="0.2">
      <c r="A44" t="s">
        <v>137</v>
      </c>
      <c r="B44" s="17">
        <v>-1156.619999999999</v>
      </c>
      <c r="C44" s="17">
        <v>-12126.03</v>
      </c>
      <c r="D44" s="17">
        <v>-12500</v>
      </c>
      <c r="E44" s="17">
        <v>-12500</v>
      </c>
      <c r="F44" s="17">
        <v>-12750</v>
      </c>
      <c r="G44" s="17">
        <v>-13005</v>
      </c>
      <c r="H44" s="17"/>
      <c r="I44" s="17"/>
      <c r="J44" s="17"/>
      <c r="K44" s="17"/>
      <c r="L44" s="17"/>
      <c r="M44" s="17"/>
      <c r="N44" s="17"/>
      <c r="O44" s="17"/>
      <c r="P44" s="17"/>
      <c r="Q44" s="17"/>
      <c r="R44" s="17"/>
      <c r="S44" s="17"/>
    </row>
    <row r="45" spans="1:19" ht="15" customHeight="1" x14ac:dyDescent="0.2">
      <c r="A45" t="s">
        <v>136</v>
      </c>
      <c r="B45" s="17">
        <v>-126939.03</v>
      </c>
      <c r="C45" s="17">
        <v>-144526.42000000001</v>
      </c>
      <c r="D45" s="17">
        <v>-143372</v>
      </c>
      <c r="E45" s="17">
        <v>-144546.44</v>
      </c>
      <c r="F45" s="17">
        <v>-147437.3688</v>
      </c>
      <c r="G45" s="17">
        <v>-150386.11617600001</v>
      </c>
      <c r="H45" s="17"/>
      <c r="I45" s="17"/>
      <c r="J45" s="17"/>
      <c r="K45" s="17"/>
      <c r="L45" s="17"/>
      <c r="M45" s="17"/>
      <c r="N45" s="17"/>
      <c r="O45" s="17"/>
      <c r="P45" s="17"/>
      <c r="Q45" s="17"/>
      <c r="R45" s="17"/>
      <c r="S45" s="17"/>
    </row>
    <row r="46" spans="1:19" ht="15" hidden="1" customHeight="1" x14ac:dyDescent="0.2">
      <c r="A46" t="s">
        <v>351</v>
      </c>
      <c r="B46" s="17">
        <v>0</v>
      </c>
      <c r="C46" s="17">
        <v>0</v>
      </c>
      <c r="D46" s="17">
        <v>0</v>
      </c>
      <c r="E46" s="17">
        <v>0</v>
      </c>
      <c r="F46" s="17"/>
      <c r="G46" s="17"/>
      <c r="H46" s="17"/>
      <c r="I46" s="17"/>
      <c r="J46" s="17"/>
      <c r="K46" s="17"/>
      <c r="L46" s="17"/>
      <c r="M46" s="17"/>
      <c r="N46" s="17"/>
      <c r="O46" s="17"/>
      <c r="P46" s="17"/>
      <c r="Q46" s="17"/>
      <c r="R46" s="17"/>
      <c r="S46" s="17"/>
    </row>
    <row r="47" spans="1:19" ht="15" hidden="1" customHeight="1" x14ac:dyDescent="0.2">
      <c r="A47" t="s">
        <v>149</v>
      </c>
      <c r="B47" s="17">
        <v>0</v>
      </c>
      <c r="C47" s="17">
        <v>0</v>
      </c>
      <c r="D47" s="17">
        <v>0</v>
      </c>
      <c r="E47" s="17">
        <v>0</v>
      </c>
      <c r="F47" s="17"/>
      <c r="G47" s="17"/>
      <c r="H47" s="17"/>
      <c r="I47" s="17"/>
      <c r="J47" s="17"/>
      <c r="K47" s="17"/>
      <c r="L47" s="17"/>
      <c r="M47" s="17"/>
      <c r="N47" s="17"/>
      <c r="O47" s="17"/>
      <c r="P47" s="17"/>
      <c r="Q47" s="17"/>
      <c r="R47" s="17"/>
      <c r="S47" s="17"/>
    </row>
    <row r="48" spans="1:19" ht="15" customHeight="1" x14ac:dyDescent="0.2">
      <c r="B48" s="17"/>
      <c r="C48" s="17"/>
      <c r="D48" s="17"/>
      <c r="E48" s="17"/>
      <c r="F48" s="17"/>
      <c r="G48" s="17"/>
      <c r="H48" s="17"/>
      <c r="I48" s="17"/>
      <c r="J48" s="17"/>
      <c r="K48" s="17"/>
      <c r="L48" s="17"/>
      <c r="M48" s="17"/>
      <c r="N48" s="17"/>
      <c r="O48" s="17"/>
      <c r="P48" s="17"/>
      <c r="Q48" s="17"/>
      <c r="R48" s="17"/>
      <c r="S48" s="17"/>
    </row>
    <row r="49" spans="1:19" ht="15" customHeight="1" x14ac:dyDescent="0.2">
      <c r="A49" s="65" t="s">
        <v>439</v>
      </c>
      <c r="B49" s="167">
        <v>-28704.959999999992</v>
      </c>
      <c r="C49" s="167">
        <v>-7350.679999999993</v>
      </c>
      <c r="D49" s="167">
        <v>-25962</v>
      </c>
      <c r="E49" s="167">
        <v>-241.98171999998158</v>
      </c>
      <c r="F49" s="167">
        <v>16176.485925600049</v>
      </c>
      <c r="G49" s="167">
        <v>16500.015644112078</v>
      </c>
      <c r="H49" s="17"/>
      <c r="I49" s="17"/>
      <c r="J49" s="17"/>
      <c r="K49" s="17"/>
      <c r="L49" s="17"/>
      <c r="M49" s="17"/>
      <c r="N49" s="17"/>
      <c r="O49" s="17"/>
      <c r="P49" s="17"/>
      <c r="Q49" s="17"/>
      <c r="R49" s="17"/>
      <c r="S49" s="17"/>
    </row>
    <row r="50" spans="1:19" ht="15" customHeight="1" x14ac:dyDescent="0.2">
      <c r="B50" s="17"/>
      <c r="C50" s="17"/>
      <c r="D50" s="17"/>
      <c r="E50" s="17"/>
      <c r="F50" s="17"/>
      <c r="G50" s="17"/>
      <c r="H50" s="17"/>
      <c r="I50" s="17"/>
      <c r="J50" s="17"/>
      <c r="K50" s="17"/>
      <c r="L50" s="17"/>
      <c r="M50" s="17"/>
      <c r="N50" s="17"/>
      <c r="O50" s="17"/>
      <c r="P50" s="17"/>
      <c r="Q50" s="17"/>
      <c r="R50" s="17"/>
      <c r="S50" s="17"/>
    </row>
    <row r="51" spans="1:19" ht="15" customHeight="1" x14ac:dyDescent="0.2">
      <c r="A51" s="13" t="s">
        <v>349</v>
      </c>
      <c r="B51" s="17">
        <v>0</v>
      </c>
      <c r="C51" s="17">
        <v>0</v>
      </c>
      <c r="D51" s="17">
        <v>325000</v>
      </c>
      <c r="E51" s="17">
        <v>175000</v>
      </c>
      <c r="F51" s="17">
        <v>0</v>
      </c>
      <c r="G51" s="17">
        <v>0</v>
      </c>
      <c r="H51" s="17"/>
      <c r="I51" s="17"/>
      <c r="J51" s="17"/>
      <c r="K51" s="17"/>
      <c r="L51" s="17"/>
      <c r="M51" s="17"/>
      <c r="N51" s="17"/>
      <c r="O51" s="17"/>
      <c r="P51" s="17"/>
      <c r="Q51" s="17"/>
      <c r="R51" s="17"/>
      <c r="S51" s="17"/>
    </row>
    <row r="52" spans="1:19" ht="15" customHeight="1" x14ac:dyDescent="0.2">
      <c r="A52" s="13" t="s">
        <v>518</v>
      </c>
      <c r="B52" s="17">
        <v>0</v>
      </c>
      <c r="C52" s="17">
        <v>0</v>
      </c>
      <c r="D52" s="17">
        <v>-185000</v>
      </c>
      <c r="E52" s="17">
        <v>-175000</v>
      </c>
      <c r="F52" s="17">
        <v>0</v>
      </c>
      <c r="G52" s="17">
        <v>0</v>
      </c>
      <c r="H52" s="17"/>
      <c r="I52" s="17"/>
      <c r="J52" s="17"/>
      <c r="K52" s="17"/>
      <c r="L52" s="17"/>
      <c r="M52" s="17"/>
      <c r="N52" s="17"/>
      <c r="O52" s="17"/>
      <c r="P52" s="17"/>
      <c r="Q52" s="17"/>
      <c r="R52" s="17"/>
      <c r="S52" s="17"/>
    </row>
    <row r="53" spans="1:19" ht="15" customHeight="1" x14ac:dyDescent="0.2">
      <c r="A53" s="13" t="s">
        <v>553</v>
      </c>
      <c r="B53" s="17">
        <v>0</v>
      </c>
      <c r="C53" s="17">
        <v>0</v>
      </c>
      <c r="D53" s="17">
        <v>-140000</v>
      </c>
      <c r="E53" s="17">
        <v>0</v>
      </c>
      <c r="F53" s="17">
        <v>-15000</v>
      </c>
      <c r="G53" s="17">
        <v>-15000</v>
      </c>
      <c r="H53" s="17"/>
      <c r="I53" s="17"/>
      <c r="J53" s="17"/>
      <c r="K53" s="17"/>
      <c r="L53" s="17"/>
      <c r="M53" s="17"/>
      <c r="N53" s="17"/>
      <c r="O53" s="17"/>
      <c r="P53" s="17"/>
      <c r="Q53" s="17"/>
      <c r="R53" s="17"/>
      <c r="S53" s="17"/>
    </row>
    <row r="54" spans="1:19" ht="15" customHeight="1" x14ac:dyDescent="0.2">
      <c r="A54" s="13"/>
      <c r="B54" s="17"/>
      <c r="C54" s="17"/>
      <c r="D54" s="17"/>
      <c r="E54" s="17"/>
      <c r="F54" s="17"/>
      <c r="G54" s="17"/>
      <c r="H54" s="17"/>
      <c r="I54" s="17"/>
      <c r="J54" s="17"/>
      <c r="K54" s="17"/>
      <c r="L54" s="17"/>
      <c r="M54" s="17"/>
      <c r="N54" s="17"/>
      <c r="O54" s="17"/>
      <c r="P54" s="17"/>
      <c r="Q54" s="17"/>
      <c r="R54" s="17"/>
      <c r="S54" s="17"/>
    </row>
    <row r="55" spans="1:19" ht="15" customHeight="1" x14ac:dyDescent="0.2">
      <c r="A55" s="65" t="s">
        <v>554</v>
      </c>
      <c r="B55" s="167">
        <v>-28704.959999999992</v>
      </c>
      <c r="C55" s="167">
        <v>-7350.679999999993</v>
      </c>
      <c r="D55" s="167">
        <v>-25962</v>
      </c>
      <c r="E55" s="167">
        <v>-241.98171999998158</v>
      </c>
      <c r="F55" s="167">
        <v>1176.4859256000491</v>
      </c>
      <c r="G55" s="167">
        <v>1500.015644112078</v>
      </c>
      <c r="H55" s="17"/>
      <c r="I55" s="17"/>
      <c r="J55" s="17"/>
      <c r="K55" s="17"/>
      <c r="L55" s="17"/>
      <c r="M55" s="17"/>
      <c r="N55" s="17"/>
      <c r="O55" s="17"/>
      <c r="P55" s="17"/>
      <c r="Q55" s="17"/>
      <c r="R55" s="17"/>
      <c r="S55" s="17"/>
    </row>
    <row r="56" spans="1:19" ht="15" customHeight="1" x14ac:dyDescent="0.2">
      <c r="B56" s="17"/>
      <c r="C56" s="17"/>
      <c r="D56" s="17"/>
      <c r="E56" s="17"/>
      <c r="F56" s="17"/>
      <c r="G56" s="17"/>
      <c r="H56" s="17"/>
      <c r="I56" s="17"/>
      <c r="J56" s="17"/>
      <c r="K56" s="17"/>
      <c r="L56" s="17"/>
      <c r="M56" s="17"/>
      <c r="N56" s="17"/>
      <c r="O56" s="17"/>
      <c r="P56" s="17"/>
      <c r="Q56" s="17"/>
      <c r="R56" s="17"/>
      <c r="S56" s="17"/>
    </row>
    <row r="57" spans="1:19" ht="15" customHeight="1" x14ac:dyDescent="0.2">
      <c r="A57" s="13" t="s">
        <v>440</v>
      </c>
      <c r="B57" s="17">
        <v>112926</v>
      </c>
      <c r="C57" s="17">
        <v>84221.040000000008</v>
      </c>
      <c r="D57" s="17">
        <v>76870.360000000015</v>
      </c>
      <c r="E57" s="17">
        <v>50908.360000000015</v>
      </c>
      <c r="F57" s="17">
        <v>50666.378280000034</v>
      </c>
      <c r="G57" s="17">
        <v>51842.864205600083</v>
      </c>
      <c r="H57" s="17"/>
      <c r="I57" s="17"/>
      <c r="J57" s="17"/>
      <c r="K57" s="17"/>
      <c r="L57" s="17"/>
      <c r="M57" s="17"/>
      <c r="N57" s="17"/>
      <c r="O57" s="17"/>
      <c r="P57" s="17"/>
      <c r="Q57" s="17"/>
      <c r="R57" s="17"/>
      <c r="S57" s="17"/>
    </row>
    <row r="58" spans="1:19" ht="15" customHeight="1" x14ac:dyDescent="0.2">
      <c r="B58" s="17"/>
      <c r="C58" s="17"/>
      <c r="D58" s="17"/>
      <c r="E58" s="17"/>
      <c r="F58" s="17"/>
      <c r="G58" s="17"/>
      <c r="H58" s="17"/>
      <c r="I58" s="17"/>
      <c r="J58" s="17"/>
      <c r="K58" s="17"/>
      <c r="L58" s="17"/>
      <c r="M58" s="17"/>
      <c r="N58" s="17"/>
      <c r="O58" s="17"/>
      <c r="P58" s="17"/>
      <c r="Q58" s="17"/>
      <c r="R58" s="17"/>
      <c r="S58" s="17"/>
    </row>
    <row r="59" spans="1:19" ht="15" customHeight="1" thickBot="1" x14ac:dyDescent="0.25">
      <c r="A59" s="165" t="s">
        <v>441</v>
      </c>
      <c r="B59" s="166">
        <v>84221.040000000008</v>
      </c>
      <c r="C59" s="166">
        <v>76870.360000000015</v>
      </c>
      <c r="D59" s="166">
        <v>50908.360000000015</v>
      </c>
      <c r="E59" s="166">
        <v>50666.378280000034</v>
      </c>
      <c r="F59" s="166">
        <v>51842.864205600083</v>
      </c>
      <c r="G59" s="166">
        <v>53342.879849712161</v>
      </c>
      <c r="H59" s="17"/>
      <c r="I59" s="17"/>
      <c r="J59" s="17"/>
      <c r="K59" s="17"/>
      <c r="L59" s="17"/>
      <c r="M59" s="17"/>
      <c r="N59" s="17"/>
      <c r="O59" s="17"/>
      <c r="P59" s="17"/>
      <c r="Q59" s="17"/>
      <c r="R59" s="17"/>
      <c r="S59" s="17"/>
    </row>
    <row r="60" spans="1:19" ht="15" customHeight="1" thickTop="1" x14ac:dyDescent="0.2">
      <c r="B60" s="17"/>
      <c r="C60" s="17"/>
      <c r="D60" s="17"/>
      <c r="E60" s="17"/>
      <c r="F60" s="17"/>
      <c r="G60" s="17"/>
      <c r="H60" s="17"/>
      <c r="I60" s="17"/>
      <c r="J60" s="17"/>
      <c r="K60" s="17"/>
      <c r="L60" s="17"/>
      <c r="M60" s="17"/>
      <c r="N60" s="17"/>
      <c r="O60" s="17"/>
      <c r="P60" s="17"/>
      <c r="Q60" s="17"/>
      <c r="R60" s="17"/>
      <c r="S60" s="17"/>
    </row>
    <row r="61" spans="1:19" ht="15" customHeight="1" x14ac:dyDescent="0.2">
      <c r="B61" s="17"/>
      <c r="C61" s="17"/>
      <c r="D61" s="17"/>
      <c r="E61" s="17"/>
      <c r="F61" s="17"/>
      <c r="G61" s="17"/>
      <c r="H61" s="17"/>
      <c r="I61" s="17"/>
      <c r="J61" s="17"/>
      <c r="K61" s="17"/>
      <c r="L61" s="17"/>
      <c r="M61" s="17"/>
      <c r="N61" s="17"/>
      <c r="O61" s="17"/>
      <c r="P61" s="17"/>
      <c r="Q61" s="17"/>
      <c r="R61" s="17"/>
      <c r="S61" s="17"/>
    </row>
    <row r="62" spans="1:19" ht="15" customHeight="1" x14ac:dyDescent="0.2">
      <c r="A62" s="13" t="s">
        <v>207</v>
      </c>
      <c r="B62" s="17"/>
      <c r="C62" s="17"/>
      <c r="D62" s="17"/>
      <c r="E62" s="17"/>
      <c r="F62" s="17"/>
      <c r="G62" s="17"/>
      <c r="H62" s="17"/>
      <c r="I62" s="17"/>
      <c r="J62" s="17"/>
      <c r="K62" s="17"/>
      <c r="L62" s="17"/>
      <c r="M62" s="17"/>
      <c r="N62" s="17"/>
      <c r="O62" s="17"/>
      <c r="P62" s="17"/>
      <c r="Q62" s="17"/>
      <c r="R62" s="17"/>
      <c r="S62" s="17"/>
    </row>
    <row r="63" spans="1:19" ht="15" customHeight="1" x14ac:dyDescent="0.2">
      <c r="A63" s="13" t="s">
        <v>517</v>
      </c>
      <c r="B63" s="17"/>
      <c r="C63" s="17"/>
      <c r="D63" s="17"/>
      <c r="E63" s="17"/>
      <c r="F63" s="17"/>
      <c r="G63" s="17"/>
      <c r="H63" s="17"/>
      <c r="I63" s="17"/>
      <c r="J63" s="17"/>
      <c r="K63" s="17"/>
      <c r="L63" s="17"/>
      <c r="M63" s="17"/>
      <c r="N63" s="17"/>
      <c r="O63" s="17"/>
      <c r="P63" s="17"/>
      <c r="Q63" s="17"/>
      <c r="R63" s="17"/>
      <c r="S63" s="17"/>
    </row>
    <row r="64" spans="1:19" ht="15" customHeight="1" x14ac:dyDescent="0.2">
      <c r="B64" s="17"/>
      <c r="C64" s="17"/>
      <c r="D64" s="17"/>
      <c r="E64" s="17"/>
      <c r="F64" s="17"/>
      <c r="G64" s="17"/>
      <c r="H64" s="17"/>
      <c r="I64" s="17"/>
      <c r="J64" s="17"/>
      <c r="K64" s="17"/>
      <c r="L64" s="17"/>
      <c r="M64" s="17"/>
      <c r="N64" s="17"/>
      <c r="O64" s="17"/>
      <c r="P64" s="17"/>
      <c r="Q64" s="17"/>
      <c r="R64" s="17"/>
      <c r="S64" s="17"/>
    </row>
    <row r="65" spans="2:19" ht="15" customHeight="1" x14ac:dyDescent="0.2">
      <c r="B65" s="17"/>
      <c r="C65" s="17"/>
      <c r="D65" s="17"/>
      <c r="E65" s="17"/>
      <c r="F65" s="17"/>
      <c r="G65" s="17"/>
      <c r="H65" s="17"/>
      <c r="I65" s="17"/>
      <c r="J65" s="17"/>
      <c r="K65" s="17"/>
      <c r="L65" s="17"/>
      <c r="M65" s="17"/>
      <c r="N65" s="17"/>
      <c r="O65" s="17"/>
      <c r="P65" s="17"/>
      <c r="Q65" s="17"/>
      <c r="R65" s="17"/>
      <c r="S65" s="17"/>
    </row>
    <row r="66" spans="2:19" ht="15" customHeight="1" x14ac:dyDescent="0.2">
      <c r="B66" s="17"/>
      <c r="C66" s="17"/>
      <c r="D66" s="17"/>
      <c r="E66" s="17"/>
      <c r="F66" s="17"/>
      <c r="G66" s="17"/>
      <c r="H66" s="17"/>
      <c r="I66" s="17"/>
      <c r="J66" s="17"/>
      <c r="K66" s="17"/>
      <c r="L66" s="17"/>
      <c r="M66" s="17"/>
      <c r="N66" s="17"/>
      <c r="O66" s="17"/>
      <c r="P66" s="17"/>
      <c r="Q66" s="17"/>
      <c r="R66" s="17"/>
      <c r="S66" s="17"/>
    </row>
    <row r="67" spans="2:19" ht="15" customHeight="1" x14ac:dyDescent="0.2">
      <c r="B67" s="17"/>
      <c r="C67" s="17"/>
      <c r="D67" s="17"/>
      <c r="E67" s="17"/>
      <c r="F67" s="17"/>
      <c r="G67" s="17"/>
      <c r="H67" s="17"/>
      <c r="I67" s="17"/>
      <c r="J67" s="17"/>
      <c r="K67" s="17"/>
      <c r="L67" s="17"/>
      <c r="M67" s="17"/>
      <c r="N67" s="17"/>
      <c r="O67" s="17"/>
      <c r="P67" s="17"/>
      <c r="Q67" s="17"/>
      <c r="R67" s="17"/>
      <c r="S67" s="17"/>
    </row>
    <row r="68" spans="2:19" ht="15" customHeight="1" x14ac:dyDescent="0.2">
      <c r="B68" s="17"/>
      <c r="C68" s="17"/>
      <c r="D68" s="17"/>
      <c r="E68" s="17"/>
      <c r="F68" s="17"/>
      <c r="G68" s="17"/>
      <c r="H68" s="17"/>
      <c r="I68" s="17"/>
      <c r="J68" s="17"/>
      <c r="K68" s="17"/>
      <c r="L68" s="17"/>
      <c r="M68" s="17"/>
      <c r="N68" s="17"/>
      <c r="O68" s="17"/>
      <c r="P68" s="17"/>
      <c r="Q68" s="17"/>
      <c r="R68" s="17"/>
      <c r="S68" s="17"/>
    </row>
    <row r="69" spans="2:19" ht="15" customHeight="1" x14ac:dyDescent="0.2">
      <c r="B69" s="17"/>
      <c r="C69" s="17"/>
      <c r="D69" s="17"/>
      <c r="E69" s="17"/>
      <c r="F69" s="17"/>
      <c r="G69" s="17"/>
      <c r="H69" s="17"/>
      <c r="I69" s="17"/>
      <c r="J69" s="17"/>
      <c r="K69" s="17"/>
      <c r="L69" s="17"/>
      <c r="M69" s="17"/>
      <c r="N69" s="17"/>
      <c r="O69" s="17"/>
      <c r="P69" s="17"/>
      <c r="Q69" s="17"/>
      <c r="R69" s="17"/>
      <c r="S69" s="17"/>
    </row>
  </sheetData>
  <pageMargins left="0.7" right="0.7" top="0.75" bottom="0.75" header="0.3" footer="0.3"/>
  <pageSetup paperSize="9" scale="77" orientation="portrait" r:id="rId1"/>
  <colBreaks count="2" manualBreakCount="2">
    <brk id="7" max="62" man="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4A83-BD24-4B43-B189-EB781E9EE8AE}">
  <sheetPr>
    <tabColor rgb="FF00B050"/>
  </sheetPr>
  <dimension ref="B1:M42"/>
  <sheetViews>
    <sheetView zoomScaleNormal="100" workbookViewId="0">
      <selection activeCell="C32" sqref="B4:C32"/>
    </sheetView>
  </sheetViews>
  <sheetFormatPr defaultRowHeight="15" customHeight="1" x14ac:dyDescent="0.2"/>
  <cols>
    <col min="1" max="1" width="2" customWidth="1"/>
    <col min="2" max="2" width="39.85546875" customWidth="1"/>
    <col min="3" max="3" width="11" bestFit="1" customWidth="1"/>
  </cols>
  <sheetData>
    <row r="1" spans="2:13" ht="23.25" customHeight="1" thickBot="1" x14ac:dyDescent="0.45">
      <c r="B1" s="69" t="s">
        <v>549</v>
      </c>
      <c r="C1" s="71"/>
    </row>
    <row r="3" spans="2:13" ht="15" customHeight="1" x14ac:dyDescent="0.2">
      <c r="C3" s="13"/>
    </row>
    <row r="4" spans="2:13" ht="15" customHeight="1" x14ac:dyDescent="0.2">
      <c r="B4" s="60" t="s">
        <v>138</v>
      </c>
      <c r="C4" s="13"/>
    </row>
    <row r="5" spans="2:13" ht="15" customHeight="1" x14ac:dyDescent="0.2">
      <c r="C5" s="13"/>
    </row>
    <row r="6" spans="2:13" ht="15" customHeight="1" x14ac:dyDescent="0.2">
      <c r="B6" s="152" t="s">
        <v>388</v>
      </c>
      <c r="C6" s="17">
        <v>15574.900000000001</v>
      </c>
    </row>
    <row r="7" spans="2:13" ht="15" customHeight="1" x14ac:dyDescent="0.2">
      <c r="B7" s="152" t="s">
        <v>389</v>
      </c>
      <c r="C7" s="15">
        <v>15886.398000000001</v>
      </c>
    </row>
    <row r="8" spans="2:13" ht="15" customHeight="1" x14ac:dyDescent="0.2">
      <c r="B8" s="153" t="s">
        <v>393</v>
      </c>
      <c r="C8" s="17">
        <v>15730.649000000001</v>
      </c>
    </row>
    <row r="9" spans="2:13" ht="15" customHeight="1" x14ac:dyDescent="0.2">
      <c r="B9" s="152"/>
    </row>
    <row r="10" spans="2:13" ht="15" customHeight="1" x14ac:dyDescent="0.2">
      <c r="B10" s="152" t="s">
        <v>390</v>
      </c>
      <c r="C10" s="151">
        <v>2.0000000000000018E-2</v>
      </c>
    </row>
    <row r="11" spans="2:13" ht="15" customHeight="1" x14ac:dyDescent="0.2">
      <c r="B11" s="152"/>
      <c r="C11" s="86"/>
    </row>
    <row r="12" spans="2:13" ht="15" customHeight="1" x14ac:dyDescent="0.2">
      <c r="B12" s="174" t="s">
        <v>550</v>
      </c>
      <c r="C12" s="86"/>
    </row>
    <row r="14" spans="2:13" ht="15" customHeight="1" x14ac:dyDescent="0.2">
      <c r="B14" s="13" t="s">
        <v>431</v>
      </c>
      <c r="C14" s="17">
        <v>286704.45828000002</v>
      </c>
      <c r="D14" s="17"/>
      <c r="E14" s="17"/>
      <c r="F14" s="17"/>
      <c r="G14" s="17"/>
      <c r="H14" s="17"/>
      <c r="I14" s="17"/>
      <c r="J14" s="17"/>
      <c r="K14" s="17"/>
      <c r="L14" s="17"/>
      <c r="M14" s="17"/>
    </row>
    <row r="15" spans="2:13" ht="15" customHeight="1" x14ac:dyDescent="0.2">
      <c r="B15" s="13" t="s">
        <v>432</v>
      </c>
      <c r="C15" s="17">
        <v>-11850</v>
      </c>
      <c r="D15" s="17"/>
      <c r="E15" s="17"/>
      <c r="F15" s="17"/>
      <c r="G15" s="17"/>
      <c r="H15" s="17"/>
      <c r="I15" s="17"/>
      <c r="J15" s="17"/>
      <c r="K15" s="17"/>
      <c r="L15" s="17"/>
      <c r="M15" s="17"/>
    </row>
    <row r="16" spans="2:13" ht="15" customHeight="1" x14ac:dyDescent="0.2">
      <c r="B16" t="s">
        <v>136</v>
      </c>
      <c r="C16" s="17">
        <v>-144546.44</v>
      </c>
      <c r="D16" s="17"/>
      <c r="E16" s="17"/>
      <c r="F16" s="17"/>
      <c r="G16" s="17"/>
      <c r="H16" s="17"/>
      <c r="I16" s="17"/>
      <c r="J16" s="17"/>
      <c r="K16" s="17"/>
      <c r="L16" s="17"/>
      <c r="M16" s="17"/>
    </row>
    <row r="17" spans="2:13" ht="15" customHeight="1" x14ac:dyDescent="0.2">
      <c r="B17" t="s">
        <v>139</v>
      </c>
      <c r="C17" s="17">
        <v>-48050</v>
      </c>
      <c r="D17" s="17"/>
      <c r="E17" s="17"/>
      <c r="F17" s="17"/>
      <c r="G17" s="17"/>
      <c r="H17" s="17"/>
      <c r="I17" s="17"/>
      <c r="J17" s="17"/>
      <c r="K17" s="17"/>
      <c r="L17" s="17"/>
      <c r="M17" s="17"/>
    </row>
    <row r="18" spans="2:13" ht="15" customHeight="1" x14ac:dyDescent="0.2">
      <c r="B18" t="s">
        <v>135</v>
      </c>
      <c r="C18" s="17">
        <v>0</v>
      </c>
      <c r="D18" s="17"/>
      <c r="E18" s="17"/>
      <c r="F18" s="17"/>
      <c r="G18" s="17"/>
      <c r="H18" s="17"/>
      <c r="I18" s="17"/>
      <c r="J18" s="17"/>
      <c r="K18" s="17"/>
      <c r="L18" s="17"/>
      <c r="M18" s="17"/>
    </row>
    <row r="19" spans="2:13" ht="15" customHeight="1" x14ac:dyDescent="0.2">
      <c r="B19" t="s">
        <v>134</v>
      </c>
      <c r="C19" s="17">
        <v>-70000</v>
      </c>
      <c r="D19" s="17"/>
      <c r="E19" s="17"/>
      <c r="F19" s="17"/>
      <c r="G19" s="17"/>
      <c r="H19" s="17"/>
      <c r="I19" s="17"/>
      <c r="J19" s="17"/>
      <c r="K19" s="17"/>
      <c r="L19" s="17"/>
      <c r="M19" s="17"/>
    </row>
    <row r="20" spans="2:13" ht="15" customHeight="1" x14ac:dyDescent="0.2">
      <c r="B20" t="s">
        <v>137</v>
      </c>
      <c r="C20" s="17">
        <v>-12500</v>
      </c>
      <c r="D20" s="17"/>
      <c r="E20" s="17"/>
      <c r="F20" s="17"/>
      <c r="G20" s="17"/>
      <c r="H20" s="17"/>
      <c r="I20" s="17"/>
      <c r="J20" s="17"/>
      <c r="K20" s="17"/>
      <c r="L20" s="17"/>
      <c r="M20" s="17"/>
    </row>
    <row r="21" spans="2:13" ht="15" hidden="1" customHeight="1" x14ac:dyDescent="0.2">
      <c r="B21" t="s">
        <v>351</v>
      </c>
      <c r="C21" s="17">
        <v>0</v>
      </c>
      <c r="D21" s="17"/>
      <c r="E21" s="17"/>
      <c r="F21" s="17"/>
      <c r="G21" s="17"/>
      <c r="H21" s="17"/>
      <c r="I21" s="17"/>
      <c r="J21" s="17"/>
      <c r="K21" s="17"/>
      <c r="L21" s="17"/>
      <c r="M21" s="17"/>
    </row>
    <row r="22" spans="2:13" ht="15" hidden="1" customHeight="1" x14ac:dyDescent="0.2">
      <c r="B22" t="s">
        <v>149</v>
      </c>
      <c r="C22" s="17">
        <v>0</v>
      </c>
      <c r="D22" s="17"/>
      <c r="E22" s="17"/>
      <c r="F22" s="17"/>
      <c r="G22" s="17"/>
      <c r="H22" s="17"/>
      <c r="I22" s="17"/>
      <c r="J22" s="17"/>
      <c r="K22" s="17"/>
      <c r="L22" s="17"/>
      <c r="M22" s="17"/>
    </row>
    <row r="23" spans="2:13" ht="15" customHeight="1" x14ac:dyDescent="0.2">
      <c r="C23" s="17"/>
      <c r="D23" s="17"/>
      <c r="E23" s="17"/>
      <c r="F23" s="17"/>
      <c r="G23" s="17"/>
      <c r="H23" s="17"/>
      <c r="I23" s="17"/>
      <c r="J23" s="17"/>
      <c r="K23" s="17"/>
      <c r="L23" s="17"/>
      <c r="M23" s="17"/>
    </row>
    <row r="24" spans="2:13" ht="15" customHeight="1" x14ac:dyDescent="0.2">
      <c r="B24" s="65" t="s">
        <v>439</v>
      </c>
      <c r="C24" s="167">
        <v>-241.98171999998158</v>
      </c>
      <c r="D24" s="17"/>
      <c r="E24" s="17"/>
      <c r="F24" s="17"/>
      <c r="G24" s="17"/>
      <c r="H24" s="17"/>
      <c r="I24" s="17"/>
      <c r="J24" s="17"/>
      <c r="K24" s="17"/>
      <c r="L24" s="17"/>
      <c r="M24" s="17"/>
    </row>
    <row r="25" spans="2:13" ht="15" customHeight="1" x14ac:dyDescent="0.2">
      <c r="C25" s="17"/>
      <c r="D25" s="17"/>
      <c r="E25" s="17"/>
      <c r="F25" s="17"/>
      <c r="G25" s="17"/>
      <c r="H25" s="17"/>
      <c r="I25" s="17"/>
      <c r="J25" s="17"/>
      <c r="K25" s="17"/>
      <c r="L25" s="17"/>
      <c r="M25" s="17"/>
    </row>
    <row r="26" spans="2:13" ht="15" customHeight="1" x14ac:dyDescent="0.2">
      <c r="B26" s="13" t="s">
        <v>349</v>
      </c>
      <c r="C26" s="17">
        <v>300000</v>
      </c>
      <c r="D26" s="17"/>
      <c r="E26" s="17"/>
      <c r="F26" s="17"/>
      <c r="G26" s="17"/>
      <c r="H26" s="17"/>
      <c r="I26" s="17"/>
      <c r="J26" s="17"/>
      <c r="K26" s="17"/>
      <c r="L26" s="17"/>
      <c r="M26" s="17"/>
    </row>
    <row r="27" spans="2:13" ht="15" customHeight="1" x14ac:dyDescent="0.2">
      <c r="B27" s="13" t="s">
        <v>518</v>
      </c>
      <c r="C27" s="17">
        <v>-230000</v>
      </c>
      <c r="D27" s="17"/>
      <c r="E27" s="17"/>
      <c r="F27" s="17"/>
      <c r="G27" s="17"/>
      <c r="H27" s="17"/>
      <c r="I27" s="17"/>
      <c r="J27" s="17"/>
      <c r="K27" s="17"/>
      <c r="L27" s="17"/>
      <c r="M27" s="17"/>
    </row>
    <row r="28" spans="2:13" ht="15" customHeight="1" x14ac:dyDescent="0.2">
      <c r="B28" s="13" t="s">
        <v>519</v>
      </c>
      <c r="C28" s="17">
        <v>-70000</v>
      </c>
      <c r="D28" s="17"/>
      <c r="E28" s="17"/>
      <c r="F28" s="17"/>
      <c r="G28" s="17"/>
      <c r="H28" s="17"/>
      <c r="I28" s="17"/>
      <c r="J28" s="17"/>
      <c r="K28" s="17"/>
      <c r="L28" s="17"/>
      <c r="M28" s="17"/>
    </row>
    <row r="29" spans="2:13" ht="15" customHeight="1" x14ac:dyDescent="0.2">
      <c r="C29" s="17"/>
      <c r="D29" s="17"/>
      <c r="E29" s="17"/>
      <c r="F29" s="17"/>
      <c r="G29" s="17"/>
      <c r="H29" s="17"/>
      <c r="I29" s="17"/>
      <c r="J29" s="17"/>
      <c r="K29" s="17"/>
      <c r="L29" s="17"/>
      <c r="M29" s="17"/>
    </row>
    <row r="30" spans="2:13" ht="15" customHeight="1" x14ac:dyDescent="0.2">
      <c r="B30" s="13" t="s">
        <v>440</v>
      </c>
      <c r="C30" s="17">
        <v>50908.360000000015</v>
      </c>
      <c r="D30" s="17"/>
      <c r="E30" s="17"/>
      <c r="F30" s="17"/>
      <c r="G30" s="17"/>
      <c r="H30" s="17"/>
      <c r="I30" s="17"/>
      <c r="J30" s="17"/>
      <c r="K30" s="17"/>
      <c r="L30" s="17"/>
      <c r="M30" s="17"/>
    </row>
    <row r="31" spans="2:13" ht="15" customHeight="1" x14ac:dyDescent="0.2">
      <c r="C31" s="17"/>
      <c r="D31" s="17"/>
      <c r="E31" s="17"/>
      <c r="F31" s="17"/>
      <c r="G31" s="17"/>
      <c r="H31" s="17"/>
      <c r="I31" s="17"/>
      <c r="J31" s="17"/>
      <c r="K31" s="17"/>
      <c r="L31" s="17"/>
      <c r="M31" s="17"/>
    </row>
    <row r="32" spans="2:13" ht="15" customHeight="1" thickBot="1" x14ac:dyDescent="0.25">
      <c r="B32" s="20" t="s">
        <v>441</v>
      </c>
      <c r="C32" s="21">
        <v>50666.378280000034</v>
      </c>
      <c r="D32" s="17"/>
      <c r="E32" s="17"/>
      <c r="F32" s="17"/>
      <c r="G32" s="17"/>
      <c r="H32" s="17"/>
      <c r="I32" s="17"/>
      <c r="J32" s="17"/>
      <c r="K32" s="17"/>
      <c r="L32" s="17"/>
      <c r="M32" s="17"/>
    </row>
    <row r="33" spans="2:13" ht="15" customHeight="1" thickTop="1" x14ac:dyDescent="0.2">
      <c r="C33" s="17"/>
      <c r="D33" s="17"/>
      <c r="E33" s="17"/>
      <c r="F33" s="17"/>
      <c r="G33" s="17"/>
      <c r="H33" s="17"/>
      <c r="I33" s="17"/>
      <c r="J33" s="17"/>
      <c r="K33" s="17"/>
      <c r="L33" s="17"/>
      <c r="M33" s="17"/>
    </row>
    <row r="34" spans="2:13" ht="15" customHeight="1" x14ac:dyDescent="0.2">
      <c r="C34" s="17"/>
      <c r="D34" s="17"/>
      <c r="E34" s="17"/>
      <c r="F34" s="17"/>
      <c r="G34" s="17"/>
      <c r="H34" s="17"/>
      <c r="I34" s="17"/>
      <c r="J34" s="17"/>
      <c r="K34" s="17"/>
      <c r="L34" s="17"/>
      <c r="M34" s="17"/>
    </row>
    <row r="35" spans="2:13" ht="15" customHeight="1" x14ac:dyDescent="0.2">
      <c r="B35" s="13" t="s">
        <v>207</v>
      </c>
      <c r="C35" s="17"/>
      <c r="D35" s="17"/>
      <c r="E35" s="17"/>
      <c r="F35" s="17"/>
      <c r="G35" s="17"/>
      <c r="H35" s="17"/>
      <c r="I35" s="17"/>
      <c r="J35" s="17"/>
      <c r="K35" s="17"/>
      <c r="L35" s="17"/>
      <c r="M35" s="17"/>
    </row>
    <row r="36" spans="2:13" ht="15" customHeight="1" x14ac:dyDescent="0.2">
      <c r="B36" s="13" t="s">
        <v>517</v>
      </c>
      <c r="C36" s="17"/>
      <c r="D36" s="17"/>
      <c r="E36" s="17"/>
      <c r="F36" s="17"/>
      <c r="G36" s="17"/>
      <c r="H36" s="17"/>
      <c r="I36" s="17"/>
      <c r="J36" s="17"/>
      <c r="K36" s="17"/>
      <c r="L36" s="17"/>
      <c r="M36" s="17"/>
    </row>
    <row r="37" spans="2:13" ht="15" customHeight="1" x14ac:dyDescent="0.2">
      <c r="C37" s="17"/>
      <c r="D37" s="17"/>
      <c r="E37" s="17"/>
      <c r="F37" s="17"/>
      <c r="G37" s="17"/>
      <c r="H37" s="17"/>
      <c r="I37" s="17"/>
      <c r="J37" s="17"/>
      <c r="K37" s="17"/>
      <c r="L37" s="17"/>
      <c r="M37" s="17"/>
    </row>
    <row r="38" spans="2:13" ht="15" customHeight="1" x14ac:dyDescent="0.2">
      <c r="C38" s="17"/>
      <c r="D38" s="17"/>
      <c r="E38" s="17"/>
      <c r="F38" s="17"/>
      <c r="G38" s="17"/>
      <c r="H38" s="17"/>
      <c r="I38" s="17"/>
      <c r="J38" s="17"/>
      <c r="K38" s="17"/>
      <c r="L38" s="17"/>
      <c r="M38" s="17"/>
    </row>
    <row r="39" spans="2:13" ht="15" customHeight="1" x14ac:dyDescent="0.2">
      <c r="C39" s="17"/>
      <c r="D39" s="17"/>
      <c r="E39" s="17"/>
      <c r="F39" s="17"/>
      <c r="G39" s="17"/>
      <c r="H39" s="17"/>
      <c r="I39" s="17"/>
      <c r="J39" s="17"/>
      <c r="K39" s="17"/>
      <c r="L39" s="17"/>
      <c r="M39" s="17"/>
    </row>
    <row r="40" spans="2:13" ht="15" customHeight="1" x14ac:dyDescent="0.2">
      <c r="C40" s="17"/>
      <c r="D40" s="17"/>
      <c r="E40" s="17"/>
      <c r="F40" s="17"/>
      <c r="G40" s="17"/>
      <c r="H40" s="17"/>
      <c r="I40" s="17"/>
      <c r="J40" s="17"/>
      <c r="K40" s="17"/>
      <c r="L40" s="17"/>
      <c r="M40" s="17"/>
    </row>
    <row r="41" spans="2:13" ht="15" customHeight="1" x14ac:dyDescent="0.2">
      <c r="C41" s="17"/>
      <c r="D41" s="17"/>
      <c r="E41" s="17"/>
      <c r="F41" s="17"/>
      <c r="G41" s="17"/>
      <c r="H41" s="17"/>
      <c r="I41" s="17"/>
      <c r="J41" s="17"/>
      <c r="K41" s="17"/>
      <c r="L41" s="17"/>
      <c r="M41" s="17"/>
    </row>
    <row r="42" spans="2:13" ht="15" customHeight="1" x14ac:dyDescent="0.2">
      <c r="C42" s="17"/>
      <c r="D42" s="17"/>
      <c r="E42" s="17"/>
      <c r="F42" s="17"/>
      <c r="G42" s="17"/>
      <c r="H42" s="17"/>
      <c r="I42" s="17"/>
      <c r="J42" s="17"/>
      <c r="K42" s="17"/>
      <c r="L42" s="17"/>
      <c r="M42" s="17"/>
    </row>
  </sheetData>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00A3-63FD-4BE1-96C1-FEA97CFC0221}">
  <sheetPr>
    <pageSetUpPr fitToPage="1"/>
  </sheetPr>
  <dimension ref="A1:O40"/>
  <sheetViews>
    <sheetView zoomScaleNormal="100" workbookViewId="0">
      <selection sqref="A1:XFD1048576"/>
    </sheetView>
  </sheetViews>
  <sheetFormatPr defaultRowHeight="12" x14ac:dyDescent="0.2"/>
  <cols>
    <col min="1" max="1" width="3.85546875" customWidth="1"/>
    <col min="2" max="2" width="18.28515625" customWidth="1"/>
    <col min="3" max="3" width="1.7109375" customWidth="1"/>
    <col min="4" max="4" width="11" bestFit="1" customWidth="1"/>
    <col min="5" max="5" width="1.7109375" customWidth="1"/>
    <col min="6" max="6" width="11" bestFit="1" customWidth="1"/>
    <col min="7" max="7" width="11" customWidth="1"/>
    <col min="8" max="8" width="11" bestFit="1" customWidth="1"/>
    <col min="9" max="9" width="10" bestFit="1" customWidth="1"/>
    <col min="10" max="10" width="10.7109375" bestFit="1" customWidth="1"/>
    <col min="11" max="11" width="9" bestFit="1" customWidth="1"/>
    <col min="12" max="12" width="11" hidden="1" customWidth="1"/>
    <col min="13" max="13" width="10.7109375" hidden="1" customWidth="1"/>
    <col min="14" max="14" width="9.140625" hidden="1" customWidth="1"/>
    <col min="15" max="15" width="19.7109375" hidden="1" customWidth="1"/>
  </cols>
  <sheetData>
    <row r="1" spans="1:15" ht="20.25" thickBot="1" x14ac:dyDescent="0.45">
      <c r="B1" s="69" t="s">
        <v>569</v>
      </c>
      <c r="C1" s="71"/>
      <c r="D1" s="71"/>
      <c r="E1" s="71"/>
      <c r="F1" s="71"/>
      <c r="G1" s="71"/>
      <c r="H1" s="71"/>
      <c r="I1" s="71"/>
      <c r="J1" s="71"/>
      <c r="K1" s="71"/>
      <c r="L1" s="71"/>
      <c r="M1" s="71"/>
      <c r="N1" s="71"/>
      <c r="O1" s="71"/>
    </row>
    <row r="3" spans="1:15" x14ac:dyDescent="0.2">
      <c r="A3" s="13"/>
      <c r="D3" s="22" t="s">
        <v>148</v>
      </c>
      <c r="E3" s="23"/>
      <c r="F3" s="22" t="s">
        <v>138</v>
      </c>
      <c r="G3" s="22" t="s">
        <v>136</v>
      </c>
      <c r="H3" s="22" t="s">
        <v>139</v>
      </c>
      <c r="I3" s="22" t="s">
        <v>135</v>
      </c>
      <c r="J3" s="22" t="s">
        <v>134</v>
      </c>
      <c r="K3" s="22" t="s">
        <v>137</v>
      </c>
      <c r="M3" s="22" t="s">
        <v>149</v>
      </c>
      <c r="O3" s="22" t="s">
        <v>556</v>
      </c>
    </row>
    <row r="4" spans="1:15" x14ac:dyDescent="0.2">
      <c r="A4" s="13"/>
    </row>
    <row r="5" spans="1:15" x14ac:dyDescent="0.2">
      <c r="A5" s="13"/>
      <c r="B5" s="13" t="s">
        <v>143</v>
      </c>
      <c r="C5" s="13"/>
      <c r="D5" s="14">
        <v>440941.71</v>
      </c>
      <c r="E5" s="14"/>
      <c r="F5" s="15">
        <v>245068.52000000002</v>
      </c>
      <c r="G5" s="15">
        <v>3212</v>
      </c>
      <c r="H5" s="15">
        <v>113147.97999999998</v>
      </c>
      <c r="I5" s="15">
        <v>57998.87</v>
      </c>
      <c r="J5" s="15">
        <v>20614.34</v>
      </c>
      <c r="K5" s="15">
        <v>900</v>
      </c>
      <c r="M5" s="15">
        <v>0</v>
      </c>
      <c r="O5" s="17">
        <v>248280.52000000002</v>
      </c>
    </row>
    <row r="6" spans="1:15" x14ac:dyDescent="0.2">
      <c r="A6" s="13"/>
      <c r="B6" s="13" t="s">
        <v>144</v>
      </c>
      <c r="C6" s="13"/>
      <c r="D6" s="14">
        <v>-305475.49</v>
      </c>
      <c r="E6" s="16"/>
      <c r="F6" s="15">
        <v>-38274.519999999997</v>
      </c>
      <c r="G6" s="15">
        <v>-4742</v>
      </c>
      <c r="H6" s="15">
        <v>-157988.72999999998</v>
      </c>
      <c r="I6" s="15">
        <v>-51284.240000000005</v>
      </c>
      <c r="J6" s="15">
        <v>-40159.97</v>
      </c>
      <c r="K6" s="15">
        <v>-13026.03</v>
      </c>
      <c r="M6" s="15">
        <v>0</v>
      </c>
      <c r="O6" s="17">
        <v>-43016.52</v>
      </c>
    </row>
    <row r="7" spans="1:15" x14ac:dyDescent="0.2">
      <c r="A7" s="13"/>
      <c r="D7" s="17"/>
      <c r="E7" s="17"/>
      <c r="F7" s="17"/>
      <c r="G7" s="17"/>
      <c r="H7" s="17"/>
      <c r="I7" s="17"/>
      <c r="J7" s="17"/>
      <c r="K7" s="17"/>
      <c r="M7" s="17"/>
    </row>
    <row r="8" spans="1:15" x14ac:dyDescent="0.2">
      <c r="A8" s="13"/>
      <c r="B8" s="18" t="s">
        <v>99</v>
      </c>
      <c r="C8" s="18"/>
      <c r="D8" s="19">
        <v>135466.22000000003</v>
      </c>
      <c r="E8" s="19"/>
      <c r="F8" s="19">
        <v>206794.00000000003</v>
      </c>
      <c r="G8" s="19">
        <v>-1530</v>
      </c>
      <c r="H8" s="19">
        <v>-44840.75</v>
      </c>
      <c r="I8" s="19">
        <v>6714.6299999999974</v>
      </c>
      <c r="J8" s="19">
        <v>-19545.63</v>
      </c>
      <c r="K8" s="19">
        <v>-12126.03</v>
      </c>
      <c r="M8" s="19">
        <v>0</v>
      </c>
      <c r="O8" s="19">
        <v>205264.00000000003</v>
      </c>
    </row>
    <row r="9" spans="1:15" x14ac:dyDescent="0.2">
      <c r="D9" s="17"/>
      <c r="E9" s="17"/>
      <c r="F9" s="17"/>
      <c r="G9" s="17"/>
      <c r="H9" s="17"/>
      <c r="I9" s="17"/>
      <c r="J9" s="17"/>
      <c r="K9" s="17"/>
      <c r="M9" s="17"/>
    </row>
    <row r="10" spans="1:15" x14ac:dyDescent="0.2">
      <c r="B10" s="13" t="s">
        <v>145</v>
      </c>
      <c r="C10" s="13"/>
      <c r="D10" s="14">
        <v>-146138.99000000002</v>
      </c>
      <c r="E10" s="16"/>
      <c r="F10" s="15">
        <v>0</v>
      </c>
      <c r="G10" s="15">
        <v>-146138.99000000002</v>
      </c>
      <c r="H10" s="15">
        <v>0</v>
      </c>
      <c r="I10" s="15">
        <v>0</v>
      </c>
      <c r="J10" s="15">
        <v>0</v>
      </c>
      <c r="K10" s="15">
        <v>0</v>
      </c>
      <c r="M10" s="15">
        <v>0</v>
      </c>
      <c r="O10" s="17">
        <v>-146138.99000000002</v>
      </c>
    </row>
    <row r="11" spans="1:15" x14ac:dyDescent="0.2">
      <c r="D11" s="17"/>
      <c r="E11" s="17"/>
      <c r="F11" s="17"/>
      <c r="G11" s="17"/>
      <c r="H11" s="17"/>
      <c r="I11" s="17"/>
      <c r="J11" s="17"/>
      <c r="K11" s="17"/>
      <c r="M11" s="17"/>
    </row>
    <row r="12" spans="1:15" x14ac:dyDescent="0.2">
      <c r="B12" s="18" t="s">
        <v>120</v>
      </c>
      <c r="C12" s="18"/>
      <c r="D12" s="19">
        <v>-10672.76999999999</v>
      </c>
      <c r="E12" s="19"/>
      <c r="F12" s="19">
        <v>206794.00000000003</v>
      </c>
      <c r="G12" s="19">
        <v>-147668.99000000002</v>
      </c>
      <c r="H12" s="19">
        <v>-44840.75</v>
      </c>
      <c r="I12" s="19">
        <v>6714.6299999999974</v>
      </c>
      <c r="J12" s="19">
        <v>-19545.63</v>
      </c>
      <c r="K12" s="19">
        <v>-12126.03</v>
      </c>
      <c r="M12" s="19">
        <v>0</v>
      </c>
      <c r="O12" s="19">
        <v>59125.010000000009</v>
      </c>
    </row>
    <row r="13" spans="1:15" x14ac:dyDescent="0.2">
      <c r="D13" s="17"/>
      <c r="E13" s="17"/>
      <c r="F13" s="17"/>
      <c r="G13" s="17"/>
      <c r="H13" s="17"/>
      <c r="I13" s="17"/>
      <c r="J13" s="17"/>
      <c r="K13" s="17"/>
      <c r="M13" s="17"/>
    </row>
    <row r="14" spans="1:15" x14ac:dyDescent="0.2">
      <c r="B14" s="13" t="s">
        <v>146</v>
      </c>
      <c r="C14" s="13"/>
      <c r="D14" s="14">
        <v>3321.7700000000009</v>
      </c>
      <c r="E14" s="16"/>
      <c r="F14" s="15">
        <v>0</v>
      </c>
      <c r="G14" s="15">
        <v>3142.5700000000011</v>
      </c>
      <c r="H14" s="15">
        <v>179.2</v>
      </c>
      <c r="I14" s="15">
        <v>0</v>
      </c>
      <c r="J14" s="15">
        <v>0</v>
      </c>
      <c r="K14" s="15">
        <v>0</v>
      </c>
      <c r="M14" s="15">
        <v>0</v>
      </c>
      <c r="O14" s="17">
        <v>3142.5700000000011</v>
      </c>
    </row>
    <row r="15" spans="1:15" x14ac:dyDescent="0.2">
      <c r="D15" s="17"/>
      <c r="E15" s="17"/>
      <c r="F15" s="17"/>
      <c r="G15" s="17"/>
      <c r="H15" s="17"/>
      <c r="I15" s="17"/>
      <c r="J15" s="17"/>
      <c r="K15" s="17"/>
      <c r="M15" s="17"/>
    </row>
    <row r="16" spans="1:15" ht="12.75" thickBot="1" x14ac:dyDescent="0.25">
      <c r="B16" s="20" t="s">
        <v>147</v>
      </c>
      <c r="C16" s="20"/>
      <c r="D16" s="21">
        <v>-7350.9999999999891</v>
      </c>
      <c r="E16" s="21"/>
      <c r="F16" s="21">
        <v>206794.00000000003</v>
      </c>
      <c r="G16" s="21">
        <v>-144526.42000000001</v>
      </c>
      <c r="H16" s="21">
        <v>-44661.55</v>
      </c>
      <c r="I16" s="21">
        <v>6714.6299999999974</v>
      </c>
      <c r="J16" s="21">
        <v>-19545.63</v>
      </c>
      <c r="K16" s="21">
        <v>-12126.03</v>
      </c>
      <c r="M16" s="21">
        <v>0</v>
      </c>
      <c r="O16" s="21">
        <v>62267.580000000009</v>
      </c>
    </row>
    <row r="17" spans="2:15" ht="12.75" thickTop="1" x14ac:dyDescent="0.2"/>
    <row r="18" spans="2:15" x14ac:dyDescent="0.2">
      <c r="B18" s="68" t="s">
        <v>559</v>
      </c>
      <c r="C18" s="68"/>
      <c r="D18" s="68"/>
      <c r="E18" s="68"/>
      <c r="F18" s="68"/>
      <c r="G18" s="68"/>
      <c r="H18" s="87">
        <v>0.71725205957899751</v>
      </c>
      <c r="I18" s="87">
        <v>-0.1078350885003078</v>
      </c>
      <c r="J18" s="87">
        <v>0.31389737645175864</v>
      </c>
      <c r="K18" s="87">
        <v>0.19474066600950285</v>
      </c>
      <c r="M18" s="68"/>
      <c r="N18" s="68"/>
      <c r="O18" s="68"/>
    </row>
    <row r="20" spans="2:15" x14ac:dyDescent="0.2">
      <c r="B20" s="18" t="s">
        <v>570</v>
      </c>
      <c r="C20" s="18"/>
      <c r="D20" s="55">
        <v>18782</v>
      </c>
      <c r="E20" s="18"/>
      <c r="F20" s="55">
        <v>174354</v>
      </c>
      <c r="G20" s="55">
        <v>-123572</v>
      </c>
      <c r="H20" s="55">
        <v>-6500</v>
      </c>
      <c r="I20" s="55">
        <v>-500</v>
      </c>
      <c r="J20" s="55">
        <v>-12500</v>
      </c>
      <c r="K20" s="55">
        <v>-12500</v>
      </c>
      <c r="M20" s="55"/>
      <c r="N20" s="18"/>
      <c r="O20" s="19">
        <v>50782</v>
      </c>
    </row>
    <row r="21" spans="2:15" hidden="1" x14ac:dyDescent="0.2">
      <c r="B21" s="18"/>
      <c r="C21" s="18"/>
      <c r="D21" s="55"/>
      <c r="E21" s="18"/>
      <c r="F21" s="55"/>
      <c r="G21" s="55"/>
      <c r="H21" s="86">
        <v>0.1279981095663818</v>
      </c>
      <c r="I21" s="86">
        <v>9.8460084281832144E-3</v>
      </c>
      <c r="J21" s="86">
        <v>0.24615021070458037</v>
      </c>
      <c r="K21" s="86">
        <v>0.24615021070458037</v>
      </c>
      <c r="M21" s="55"/>
      <c r="N21" s="18"/>
      <c r="O21" s="19"/>
    </row>
    <row r="23" spans="2:15" x14ac:dyDescent="0.2">
      <c r="B23" s="68" t="s">
        <v>561</v>
      </c>
      <c r="C23" s="68"/>
      <c r="D23" s="79">
        <v>-26132.999999999993</v>
      </c>
      <c r="E23" s="68"/>
      <c r="F23" s="79">
        <v>32440.000000000029</v>
      </c>
      <c r="G23" s="79">
        <v>-20954.420000000013</v>
      </c>
      <c r="H23" s="79">
        <v>-38161.550000000003</v>
      </c>
      <c r="I23" s="79">
        <v>7214.6299999999974</v>
      </c>
      <c r="J23" s="79">
        <v>-7045.630000000001</v>
      </c>
      <c r="K23" s="79">
        <v>373.96999999999935</v>
      </c>
      <c r="M23" s="79">
        <v>0</v>
      </c>
      <c r="N23" s="68"/>
      <c r="O23" s="79">
        <v>11485.580000000009</v>
      </c>
    </row>
    <row r="25" spans="2:15" x14ac:dyDescent="0.2">
      <c r="B25" s="18" t="s">
        <v>571</v>
      </c>
      <c r="C25" s="18"/>
      <c r="D25" s="55">
        <v>17316.560000000023</v>
      </c>
      <c r="E25" s="18"/>
      <c r="F25" s="55">
        <v>197790</v>
      </c>
      <c r="G25" s="55">
        <v>-128248.25</v>
      </c>
      <c r="H25" s="55">
        <v>-23139.539999999979</v>
      </c>
      <c r="I25" s="55">
        <v>-124.0299999999952</v>
      </c>
      <c r="J25" s="55">
        <v>-16961.62</v>
      </c>
      <c r="K25" s="55">
        <v>-12000</v>
      </c>
      <c r="M25" s="55">
        <v>0</v>
      </c>
      <c r="N25" s="18"/>
      <c r="O25" s="19">
        <v>69541.75</v>
      </c>
    </row>
    <row r="27" spans="2:15" x14ac:dyDescent="0.2">
      <c r="B27" s="68" t="s">
        <v>250</v>
      </c>
      <c r="C27" s="68"/>
      <c r="D27" s="79">
        <v>-24667.560000000019</v>
      </c>
      <c r="E27" s="68"/>
      <c r="F27" s="79">
        <v>9004.0000000000291</v>
      </c>
      <c r="G27" s="79">
        <v>-16278.170000000013</v>
      </c>
      <c r="H27" s="79">
        <v>-21522.010000000024</v>
      </c>
      <c r="I27" s="79">
        <v>6838.6599999999926</v>
      </c>
      <c r="J27" s="79">
        <v>-2584.010000000002</v>
      </c>
      <c r="K27" s="79">
        <v>-126.03000000000065</v>
      </c>
      <c r="M27" s="79">
        <v>0</v>
      </c>
      <c r="N27" s="68"/>
      <c r="O27" s="79">
        <v>-7274.169999999991</v>
      </c>
    </row>
    <row r="29" spans="2:15" hidden="1" x14ac:dyDescent="0.2"/>
    <row r="30" spans="2:15" hidden="1" x14ac:dyDescent="0.2">
      <c r="B30" s="88" t="s">
        <v>203</v>
      </c>
    </row>
    <row r="31" spans="2:15" hidden="1" x14ac:dyDescent="0.2"/>
    <row r="32" spans="2:15" hidden="1" x14ac:dyDescent="0.2">
      <c r="B32" s="13" t="s">
        <v>204</v>
      </c>
    </row>
    <row r="33" spans="2:12" hidden="1" x14ac:dyDescent="0.2">
      <c r="B33" s="13" t="s">
        <v>209</v>
      </c>
    </row>
    <row r="35" spans="2:12" hidden="1" x14ac:dyDescent="0.2">
      <c r="B35" t="s">
        <v>572</v>
      </c>
      <c r="F35" s="17">
        <v>0</v>
      </c>
      <c r="G35" s="17"/>
      <c r="H35" s="17">
        <v>0</v>
      </c>
      <c r="I35" s="17">
        <v>2.0000000004074536E-2</v>
      </c>
      <c r="J35" s="17">
        <v>0</v>
      </c>
      <c r="K35" s="17">
        <v>0</v>
      </c>
      <c r="L35" s="17">
        <v>0</v>
      </c>
    </row>
    <row r="36" spans="2:12" hidden="1" x14ac:dyDescent="0.2">
      <c r="B36" t="s">
        <v>205</v>
      </c>
      <c r="F36" s="17">
        <v>0</v>
      </c>
      <c r="G36" s="17"/>
      <c r="H36" s="17">
        <v>0</v>
      </c>
      <c r="I36" s="17">
        <v>0</v>
      </c>
      <c r="J36" s="17">
        <v>0</v>
      </c>
      <c r="K36" s="17">
        <v>0</v>
      </c>
      <c r="L36" s="17">
        <v>0</v>
      </c>
    </row>
    <row r="37" spans="2:12" hidden="1" x14ac:dyDescent="0.2">
      <c r="B37" t="s">
        <v>573</v>
      </c>
      <c r="F37" s="17">
        <v>0</v>
      </c>
      <c r="G37" s="17"/>
      <c r="H37" s="17">
        <v>0</v>
      </c>
      <c r="I37" s="17">
        <v>0</v>
      </c>
      <c r="J37" s="17">
        <v>0</v>
      </c>
      <c r="K37" s="17">
        <v>4000</v>
      </c>
      <c r="L37" s="17">
        <v>0</v>
      </c>
    </row>
    <row r="38" spans="2:12" hidden="1" x14ac:dyDescent="0.2"/>
    <row r="39" spans="2:12" hidden="1" x14ac:dyDescent="0.2">
      <c r="B39" t="s">
        <v>574</v>
      </c>
    </row>
    <row r="40" spans="2:12" hidden="1" x14ac:dyDescent="0.2"/>
  </sheetData>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66B86-3277-4900-9250-AF30343E682A}">
  <sheetPr codeName="Sheet5"/>
  <dimension ref="A1:C27"/>
  <sheetViews>
    <sheetView zoomScaleNormal="100" workbookViewId="0">
      <selection activeCell="B29" sqref="B29"/>
    </sheetView>
  </sheetViews>
  <sheetFormatPr defaultRowHeight="12" x14ac:dyDescent="0.2"/>
  <cols>
    <col min="1" max="1" width="24.5703125" customWidth="1"/>
    <col min="2" max="2" width="9.140625" style="17"/>
    <col min="3" max="3" width="14.28515625" customWidth="1"/>
  </cols>
  <sheetData>
    <row r="1" spans="1:3" ht="20.25" thickBot="1" x14ac:dyDescent="0.45">
      <c r="A1" s="69" t="s">
        <v>342</v>
      </c>
      <c r="B1" s="168"/>
      <c r="C1" s="71"/>
    </row>
    <row r="3" spans="1:3" ht="25.5" customHeight="1" x14ac:dyDescent="0.2">
      <c r="C3" s="153" t="s">
        <v>421</v>
      </c>
    </row>
    <row r="4" spans="1:3" x14ac:dyDescent="0.2">
      <c r="C4" s="13"/>
    </row>
    <row r="5" spans="1:3" x14ac:dyDescent="0.2">
      <c r="A5" t="s">
        <v>240</v>
      </c>
      <c r="B5" s="17">
        <v>112926</v>
      </c>
      <c r="C5" s="17">
        <f>B5-50000</f>
        <v>62926</v>
      </c>
    </row>
    <row r="7" spans="1:3" x14ac:dyDescent="0.2">
      <c r="A7" t="s">
        <v>241</v>
      </c>
      <c r="B7" s="17">
        <v>-28705</v>
      </c>
    </row>
    <row r="9" spans="1:3" x14ac:dyDescent="0.2">
      <c r="A9" t="s">
        <v>242</v>
      </c>
      <c r="B9" s="17">
        <f>B5+B7</f>
        <v>84221</v>
      </c>
      <c r="C9" s="17">
        <f>B9-50000</f>
        <v>34221</v>
      </c>
    </row>
    <row r="11" spans="1:3" x14ac:dyDescent="0.2">
      <c r="A11" t="s">
        <v>243</v>
      </c>
      <c r="B11" s="17">
        <v>-7350.9999999999891</v>
      </c>
    </row>
    <row r="13" spans="1:3" x14ac:dyDescent="0.2">
      <c r="A13" t="s">
        <v>244</v>
      </c>
      <c r="B13" s="17">
        <f>B9+B11</f>
        <v>76870.000000000015</v>
      </c>
      <c r="C13" s="17">
        <f>B13-50000</f>
        <v>26870.000000000015</v>
      </c>
    </row>
    <row r="15" spans="1:3" x14ac:dyDescent="0.2">
      <c r="A15" s="13" t="s">
        <v>422</v>
      </c>
      <c r="B15" s="17">
        <f>'Budget 25 Summary P&amp;L'!D27</f>
        <v>-26962</v>
      </c>
    </row>
    <row r="16" spans="1:3" x14ac:dyDescent="0.2">
      <c r="A16" s="13"/>
    </row>
    <row r="17" spans="1:3" x14ac:dyDescent="0.2">
      <c r="A17" s="13" t="s">
        <v>423</v>
      </c>
      <c r="B17" s="17">
        <v>200000</v>
      </c>
    </row>
    <row r="18" spans="1:3" x14ac:dyDescent="0.2">
      <c r="A18" s="13" t="s">
        <v>424</v>
      </c>
      <c r="B18" s="17">
        <v>-185000</v>
      </c>
    </row>
    <row r="20" spans="1:3" x14ac:dyDescent="0.2">
      <c r="A20" t="s">
        <v>245</v>
      </c>
      <c r="B20" s="17">
        <f>B13+B15+B17+B18</f>
        <v>64908</v>
      </c>
      <c r="C20" s="17">
        <f>B20-50000</f>
        <v>14908</v>
      </c>
    </row>
    <row r="22" spans="1:3" x14ac:dyDescent="0.2">
      <c r="A22" s="13" t="s">
        <v>259</v>
      </c>
      <c r="B22" s="17">
        <f>'Budget 25 Summary P&amp;L'!D16</f>
        <v>-241.98171999998158</v>
      </c>
    </row>
    <row r="23" spans="1:3" x14ac:dyDescent="0.2">
      <c r="A23" s="13"/>
    </row>
    <row r="24" spans="1:3" x14ac:dyDescent="0.2">
      <c r="A24" s="13" t="s">
        <v>425</v>
      </c>
      <c r="B24" s="17">
        <v>300000</v>
      </c>
    </row>
    <row r="25" spans="1:3" x14ac:dyDescent="0.2">
      <c r="A25" s="13" t="s">
        <v>426</v>
      </c>
      <c r="B25" s="17">
        <v>-300000</v>
      </c>
    </row>
    <row r="27" spans="1:3" x14ac:dyDescent="0.2">
      <c r="A27" s="13" t="s">
        <v>260</v>
      </c>
      <c r="B27" s="17">
        <f>B20+B22+B24+B25</f>
        <v>64666.018280000018</v>
      </c>
      <c r="C27" s="17">
        <f>B27-50000</f>
        <v>14666.018280000018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Reserves summary post DCMS</vt:lpstr>
      <vt:lpstr>Summary of pricing options</vt:lpstr>
      <vt:lpstr>3 Year forecast - option 1</vt:lpstr>
      <vt:lpstr>3 Year forecast - option 2</vt:lpstr>
      <vt:lpstr>3 Year forecast - option 3</vt:lpstr>
      <vt:lpstr>3 Year forecast</vt:lpstr>
      <vt:lpstr>2025 Summary</vt:lpstr>
      <vt:lpstr>2023 actuals v budget</vt:lpstr>
      <vt:lpstr>Reserves reconciliation</vt:lpstr>
      <vt:lpstr>Reforecast 24 summary P&amp;L</vt:lpstr>
      <vt:lpstr>Budget 25 Summary P&amp;L</vt:lpstr>
      <vt:lpstr>DCMS Timeline</vt:lpstr>
      <vt:lpstr>Membership Summary Table</vt:lpstr>
      <vt:lpstr>2025 Budget Details &gt;&gt;&gt;</vt:lpstr>
      <vt:lpstr>Membership</vt:lpstr>
      <vt:lpstr>Admin</vt:lpstr>
      <vt:lpstr>Home</vt:lpstr>
      <vt:lpstr>Junior</vt:lpstr>
      <vt:lpstr>International</vt:lpstr>
      <vt:lpstr>Womens</vt:lpstr>
      <vt:lpstr>Events</vt:lpstr>
      <vt:lpstr>Profit and Loss -Q124</vt:lpstr>
      <vt:lpstr>Xero P&amp;L</vt:lpstr>
      <vt:lpstr>membership assumptions</vt:lpstr>
      <vt:lpstr>Membership Summary Table (2)</vt:lpstr>
      <vt:lpstr>Version control</vt:lpstr>
      <vt:lpstr>membership data</vt:lpstr>
      <vt:lpstr>Comments from directors</vt:lpstr>
      <vt:lpstr>'3 Year forecast'!Print_Area</vt:lpstr>
      <vt:lpstr>Membership!Print_Area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Longson</dc:creator>
  <cp:lastModifiedBy>David Eustace</cp:lastModifiedBy>
  <cp:lastPrinted>2024-04-08T20:03:45Z</cp:lastPrinted>
  <dcterms:created xsi:type="dcterms:W3CDTF">2023-11-30T10:04:38Z</dcterms:created>
  <dcterms:modified xsi:type="dcterms:W3CDTF">2024-04-08T23:04:08Z</dcterms:modified>
</cp:coreProperties>
</file>